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D1950BA9-201A-4FB1-A21F-0E4F2DF9F297}" xr6:coauthVersionLast="47" xr6:coauthVersionMax="47" xr10:uidLastSave="{00000000-0000-0000-0000-000000000000}"/>
  <bookViews>
    <workbookView xWindow="28680" yWindow="-120" windowWidth="29040" windowHeight="15840" tabRatio="976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Oficial de Manutenção-Estimado" sheetId="34" r:id="rId4"/>
    <sheet name="Oficial de Manutenção" sheetId="35" r:id="rId5"/>
    <sheet name="Uniforme" sheetId="31" r:id="rId6"/>
    <sheet name="Materiais de Reposição" sheetId="28" r:id="rId7"/>
    <sheet name="ENCARGOS-SOCIAIS-E-TRABALHISTAS" sheetId="32" state="hidden" r:id="rId8"/>
    <sheet name="DADOS-ESTATISTICOS" sheetId="33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AL_1_A_SAL_BASE" localSheetId="4">'Oficial de Manutenção'!$F$22</definedName>
    <definedName name="AL_1_A_SAL_BASE" localSheetId="3">'Oficial de Manutenção-Estimado'!$F$22</definedName>
    <definedName name="AL_1_B_ADIC_PERIC" localSheetId="4">'Oficial de Manutenção'!$F$23</definedName>
    <definedName name="AL_1_B_ADIC_PERIC" localSheetId="3">'Oficial de Manutenção-Estimado'!$F$23</definedName>
    <definedName name="AL_1_C_ADIC_NOT" localSheetId="4">'Oficial de Manutenção'!$F$24</definedName>
    <definedName name="AL_1_C_ADIC_NOT" localSheetId="3">'Oficial de Manutenção-Estimado'!$F$24</definedName>
    <definedName name="AL_1_D_ADIC_NOT_RED" localSheetId="4">'Oficial de Manutenção'!$F$25</definedName>
    <definedName name="AL_1_D_ADIC_NOT_RED" localSheetId="3">'Oficial de Manutenção-Estimado'!$F$25</definedName>
    <definedName name="AL_2_1_A_DEC_TERC" localSheetId="4">'Oficial de Manutenção'!$F$34</definedName>
    <definedName name="AL_2_1_A_DEC_TERC" localSheetId="3">'Oficial de Manutenção-Estimado'!$F$34</definedName>
    <definedName name="AL_2_1_B_ADIC_FERIAS" localSheetId="4">'Oficial de Manutenção'!$F$35</definedName>
    <definedName name="AL_2_1_B_ADIC_FERIAS" localSheetId="3">'Oficial de Manutenção-Estimado'!$F$35</definedName>
    <definedName name="AL_2_2_FGTS" localSheetId="4">'Oficial de Manutenção'!$F$46</definedName>
    <definedName name="AL_2_2_FGTS" localSheetId="3">'Oficial de Manutenção-Estimado'!$F$46</definedName>
    <definedName name="AL_2_3_A_TRANSP" localSheetId="4">'Oficial de Manutenção'!$F$50</definedName>
    <definedName name="AL_2_3_A_TRANSP" localSheetId="3">'Oficial de Manutenção-Estimado'!$F$50</definedName>
    <definedName name="AL_2_3_B_AUX_ALIMENT" localSheetId="4">'Oficial de Manutenção'!$F$51</definedName>
    <definedName name="AL_2_3_B_AUX_ALIMENT" localSheetId="3">'Oficial de Manutenção-Estimado'!$F$51</definedName>
    <definedName name="AL_2_3_C_OUTROS_BENEF" localSheetId="4">'Oficial de Manutenção'!$F$52</definedName>
    <definedName name="AL_2_3_C_OUTROS_BENEF" localSheetId="3">'Oficial de Manutenção-Estimado'!$F$52</definedName>
    <definedName name="AL_2_A_ATE_2_G_GPS" localSheetId="4">'Oficial de Manutenção'!$F$39:$F$45</definedName>
    <definedName name="AL_2_A_ATE_2_G_GPS" localSheetId="3">'Oficial de Manutenção-Estimado'!$F$39:$F$45</definedName>
    <definedName name="AL_6_A_CUSTOS_INDIRETOS" localSheetId="4">'Oficial de Manutenção'!$F$88</definedName>
    <definedName name="AL_6_A_CUSTOS_INDIRETOS" localSheetId="3">'Oficial de Manutenção-Estimado'!$F$88</definedName>
    <definedName name="AL_6_B_LUCRO" localSheetId="4">'Oficial de Manutenção'!$F$89</definedName>
    <definedName name="AL_6_B_LUCRO" localSheetId="3">'Oficial de Manutenção-Estimado'!$F$89</definedName>
    <definedName name="AL_6_C_1_PIS" localSheetId="4">'Oficial de Manutenção'!$F$91</definedName>
    <definedName name="AL_6_C_1_PIS" localSheetId="3">'Oficial de Manutenção-Estimado'!$F$91</definedName>
    <definedName name="AL_6_C_2_COFINS" localSheetId="4">'Oficial de Manutenção'!$F$92</definedName>
    <definedName name="AL_6_C_2_COFINS" localSheetId="3">'Oficial de Manutenção-Estimado'!$F$92</definedName>
    <definedName name="AL_6_C_3_ISS" localSheetId="4">'Oficial de Manutenção'!$F$93</definedName>
    <definedName name="AL_6_C_3_ISS" localSheetId="3">'Oficial de Manutenção-Estimado'!$F$93</definedName>
    <definedName name="AL_6_C_TRIBUTOS" localSheetId="4">'Oficial de Manutenção'!$F$90</definedName>
    <definedName name="AL_6_C_TRIBUTOS" localSheetId="3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PROPOSTA'!$A$1:$I$71</definedName>
    <definedName name="CATEGORIA_PROFISSIONAL" localSheetId="2">'[1]INSERÇÃO-DE-DADOS'!$D$23</definedName>
    <definedName name="CATEGORIA_PROFISSIONAL" localSheetId="8">'[1]INSERÇÃO-DE-DADOS'!$D$23</definedName>
    <definedName name="CATEGORIA_PROFISSIONAL" localSheetId="7">'[1]INSERÇÃO-DE-DADOS'!$D$23</definedName>
    <definedName name="CATEGORIA_PROFISSIONAL" localSheetId="0">'[1]INSERÇÃO-DE-DADOS'!$D$23</definedName>
    <definedName name="CATEGORIA_PROFISSIONAL" localSheetId="4">'[1]INSERÇÃO-DE-DADOS'!$D$23</definedName>
    <definedName name="CATEGORIA_PROFISSIONAL" localSheetId="3">'[1]INSERÇÃO-DE-DADOS'!$D$23</definedName>
    <definedName name="CATEGORIA_PROFISSIONAL" localSheetId="5">'[1]INSERÇÃO-DE-DADOS'!$D$23</definedName>
    <definedName name="CATEGORIA_PROFISSIONAL">'[2]INSERÇÃO-DE-DADOS'!$D$23</definedName>
    <definedName name="DATA_APRESENTACAO_PROPOSTA" localSheetId="2">'[1]INSERÇÃO-DE-DADOS'!$F$11</definedName>
    <definedName name="DATA_APRESENTACAO_PROPOSTA" localSheetId="8">'[1]INSERÇÃO-DE-DADOS'!$F$11</definedName>
    <definedName name="DATA_APRESENTACAO_PROPOSTA" localSheetId="7">'[1]INSERÇÃO-DE-DADOS'!$F$11</definedName>
    <definedName name="DATA_APRESENTACAO_PROPOSTA" localSheetId="0">'[1]INSERÇÃO-DE-DADOS'!$F$11</definedName>
    <definedName name="DATA_APRESENTACAO_PROPOSTA" localSheetId="4">'[1]INSERÇÃO-DE-DADOS'!$F$11</definedName>
    <definedName name="DATA_APRESENTACAO_PROPOSTA" localSheetId="3">'[1]INSERÇÃO-DE-DADOS'!$F$11</definedName>
    <definedName name="DATA_APRESENTACAO_PROPOSTA" localSheetId="5">'[1]INSERÇÃO-DE-DADOS'!$F$11</definedName>
    <definedName name="DATA_APRESENTACAO_PROPOSTA">'[2]INSERÇÃO-DE-DADOS'!$F$11</definedName>
    <definedName name="DATA_DO_ORCAMENTO_ESTIMATIVO" localSheetId="2">'[1]INSERÇÃO-DE-DADOS'!$F$2</definedName>
    <definedName name="DATA_DO_ORCAMENTO_ESTIMATIVO" localSheetId="8">'[1]INSERÇÃO-DE-DADOS'!$F$2</definedName>
    <definedName name="DATA_DO_ORCAMENTO_ESTIMATIVO" localSheetId="7">'[1]INSERÇÃO-DE-DADOS'!$F$2</definedName>
    <definedName name="DATA_DO_ORCAMENTO_ESTIMATIVO" localSheetId="0">'[1]INSERÇÃO-DE-DADOS'!$F$2</definedName>
    <definedName name="DATA_DO_ORCAMENTO_ESTIMATIVO" localSheetId="4">'[1]INSERÇÃO-DE-DADOS'!$F$2</definedName>
    <definedName name="DATA_DO_ORCAMENTO_ESTIMATIVO" localSheetId="3">'[1]INSERÇÃO-DE-DADOS'!$F$2</definedName>
    <definedName name="DATA_DO_ORCAMENTO_ESTIMATIVO" localSheetId="5">'[1]INSERÇÃO-DE-DADOS'!$F$2</definedName>
    <definedName name="DATA_DO_ORCAMENTO_ESTIMATIVO">'[2]INSERÇÃO-DE-DADOS'!$F$2</definedName>
    <definedName name="DIAS_AUSENCIAS_LEGAIS" localSheetId="2">'[3]DADOS-ESTATISTICOS'!$F$27</definedName>
    <definedName name="DIAS_AUSENCIAS_LEGAIS" localSheetId="8">'DADOS-ESTATISTICOS'!$F$27</definedName>
    <definedName name="DIAS_AUSENCIAS_LEGAIS" localSheetId="7">'[4]DADOS-ESTATISTICOS'!$F$27</definedName>
    <definedName name="DIAS_AUSENCIAS_LEGAIS" localSheetId="0">'[3]DADOS-ESTATISTICOS'!$F$27</definedName>
    <definedName name="DIAS_AUSENCIAS_LEGAIS" localSheetId="4">'[1]DADOS-ESTATISTICOS'!$F$27</definedName>
    <definedName name="DIAS_AUSENCIAS_LEGAIS" localSheetId="3">'[4]DADOS-ESTATISTICOS'!$F$27</definedName>
    <definedName name="DIAS_AUSENCIAS_LEGAIS" localSheetId="5">'[1]DADOS-ESTATISTICOS'!$F$27</definedName>
    <definedName name="DIAS_AUSENCIAS_LEGAIS">#REF!</definedName>
    <definedName name="DIAS_LICENCA_MATERNIDADE" localSheetId="2">'[3]DADOS-ESTATISTICOS'!$F$33</definedName>
    <definedName name="DIAS_LICENCA_MATERNIDADE" localSheetId="8">'DADOS-ESTATISTICOS'!$F$33</definedName>
    <definedName name="DIAS_LICENCA_MATERNIDADE" localSheetId="7">'[4]DADOS-ESTATISTICOS'!$F$33</definedName>
    <definedName name="DIAS_LICENCA_MATERNIDADE" localSheetId="0">'[3]DADOS-ESTATISTICOS'!$F$33</definedName>
    <definedName name="DIAS_LICENCA_MATERNIDADE" localSheetId="4">'[1]DADOS-ESTATISTICOS'!$F$33</definedName>
    <definedName name="DIAS_LICENCA_MATERNIDADE" localSheetId="3">'[4]DADOS-ESTATISTICOS'!$F$33</definedName>
    <definedName name="DIAS_LICENCA_MATERNIDADE" localSheetId="5">'[1]DADOS-ESTATISTICOS'!$F$33</definedName>
    <definedName name="DIAS_LICENCA_MATERNIDADE">#REF!</definedName>
    <definedName name="DIAS_LICENCA_PATERNIDADE" localSheetId="2">'[3]DADOS-ESTATISTICOS'!$F$28</definedName>
    <definedName name="DIAS_LICENCA_PATERNIDADE" localSheetId="8">'DADOS-ESTATISTICOS'!$F$28</definedName>
    <definedName name="DIAS_LICENCA_PATERNIDADE" localSheetId="7">'[4]DADOS-ESTATISTICOS'!$F$28</definedName>
    <definedName name="DIAS_LICENCA_PATERNIDADE" localSheetId="0">'[3]DADOS-ESTATISTICOS'!$F$28</definedName>
    <definedName name="DIAS_LICENCA_PATERNIDADE" localSheetId="4">'[1]DADOS-ESTATISTICOS'!$F$28</definedName>
    <definedName name="DIAS_LICENCA_PATERNIDADE" localSheetId="3">'[4]DADOS-ESTATISTICOS'!$F$28</definedName>
    <definedName name="DIAS_LICENCA_PATERNIDADE" localSheetId="5">'[1]DADOS-ESTATISTICOS'!$F$28</definedName>
    <definedName name="DIAS_LICENCA_PATERNIDADE">#REF!</definedName>
    <definedName name="DIAS_NA_SEMANA" localSheetId="2">'[3]DADOS-ESTATISTICOS'!$F$5</definedName>
    <definedName name="DIAS_NA_SEMANA" localSheetId="8">'DADOS-ESTATISTICOS'!$F$5</definedName>
    <definedName name="DIAS_NA_SEMANA" localSheetId="7">'[4]DADOS-ESTATISTICOS'!$F$5</definedName>
    <definedName name="DIAS_NA_SEMANA" localSheetId="0">'[3]DADOS-ESTATISTICOS'!$F$5</definedName>
    <definedName name="DIAS_NA_SEMANA" localSheetId="4">'[1]DADOS-ESTATISTICOS'!$F$5</definedName>
    <definedName name="DIAS_NA_SEMANA" localSheetId="3">'[4]DADOS-ESTATISTICOS'!$F$5</definedName>
    <definedName name="DIAS_NA_SEMANA" localSheetId="5">'[1]DADOS-ESTATISTICOS'!$F$5</definedName>
    <definedName name="DIAS_NA_SEMANA">#REF!</definedName>
    <definedName name="DIAS_NO_ANO" localSheetId="8">'DADOS-ESTATISTICOS'!$F$6</definedName>
    <definedName name="DIAS_NO_ANO">#REF!</definedName>
    <definedName name="DIAS_NO_MES" localSheetId="2">'[3]DADOS-ESTATISTICOS'!$F$22</definedName>
    <definedName name="DIAS_NO_MES" localSheetId="8">'DADOS-ESTATISTICOS'!$F$22</definedName>
    <definedName name="DIAS_NO_MES" localSheetId="7">'[4]DADOS-ESTATISTICOS'!$F$22</definedName>
    <definedName name="DIAS_NO_MES" localSheetId="0">'[3]DADOS-ESTATISTICOS'!$F$22</definedName>
    <definedName name="DIAS_NO_MES" localSheetId="4">'[1]DADOS-ESTATISTICOS'!$F$22</definedName>
    <definedName name="DIAS_NO_MES" localSheetId="3">'[4]DADOS-ESTATISTICOS'!$F$22</definedName>
    <definedName name="DIAS_NO_MES" localSheetId="5">'[1]DADOS-ESTATISTICOS'!$F$22</definedName>
    <definedName name="DIAS_NO_MES">#REF!</definedName>
    <definedName name="DIAS_PAGOS_EMPRESA_ACID_TRAB" localSheetId="2">'[3]DADOS-ESTATISTICOS'!$F$32</definedName>
    <definedName name="DIAS_PAGOS_EMPRESA_ACID_TRAB" localSheetId="8">'DADOS-ESTATISTICOS'!$F$32</definedName>
    <definedName name="DIAS_PAGOS_EMPRESA_ACID_TRAB" localSheetId="7">'[4]DADOS-ESTATISTICOS'!$F$32</definedName>
    <definedName name="DIAS_PAGOS_EMPRESA_ACID_TRAB" localSheetId="0">'[3]DADOS-ESTATISTICOS'!$F$32</definedName>
    <definedName name="DIAS_PAGOS_EMPRESA_ACID_TRAB" localSheetId="4">'[1]DADOS-ESTATISTICOS'!$F$32</definedName>
    <definedName name="DIAS_PAGOS_EMPRESA_ACID_TRAB" localSheetId="3">'[4]DADOS-ESTATISTICOS'!$F$32</definedName>
    <definedName name="DIAS_PAGOS_EMPRESA_ACID_TRAB" localSheetId="5">'[1]DADOS-ESTATISTICOS'!$F$32</definedName>
    <definedName name="DIAS_PAGOS_EMPRESA_ACID_TRAB">#REF!</definedName>
    <definedName name="DIAS_TRABALHADOS_NO_MES" localSheetId="2">'[1]INSERÇÃO-DE-DADOS'!$F$43</definedName>
    <definedName name="DIAS_TRABALHADOS_NO_MES" localSheetId="8">'[1]INSERÇÃO-DE-DADOS'!$F$43</definedName>
    <definedName name="DIAS_TRABALHADOS_NO_MES" localSheetId="7">'[1]INSERÇÃO-DE-DADOS'!$F$43</definedName>
    <definedName name="DIAS_TRABALHADOS_NO_MES" localSheetId="0">'[1]INSERÇÃO-DE-DADOS'!$F$43</definedName>
    <definedName name="DIAS_TRABALHADOS_NO_MES" localSheetId="4">'[1]INSERÇÃO-DE-DADOS'!$F$43</definedName>
    <definedName name="DIAS_TRABALHADOS_NO_MES" localSheetId="3">'[1]INSERÇÃO-DE-DADOS'!$F$43</definedName>
    <definedName name="DIAS_TRABALHADOS_NO_MES" localSheetId="5">'[1]INSERÇÃO-DE-DADOS'!$F$43</definedName>
    <definedName name="DIAS_TRABALHADOS_NO_MES">'[2]INSERÇÃO-DE-DADOS'!$F$43</definedName>
    <definedName name="DIVISOR_DE_HORAS" localSheetId="8">'DADOS-ESTATISTICOS'!$F$4</definedName>
    <definedName name="DIVISOR_DE_HORAS" localSheetId="7">'[4]DADOS-ESTATISTICOS'!$F$4</definedName>
    <definedName name="DIVISOR_DE_HORAS" localSheetId="4">'[1]DADOS-ESTATISTICOS'!$F$4</definedName>
    <definedName name="DIVISOR_DE_HORAS" localSheetId="3">'[4]DADOS-ESTATISTICOS'!$F$4</definedName>
    <definedName name="DIVISOR_DE_HORAS" localSheetId="5">'[1]DADOS-ESTATISTICOS'!$F$4</definedName>
    <definedName name="DIVISOR_DE_HORAS">#REF!</definedName>
    <definedName name="EMPREG_POR_POSTO" localSheetId="2">'[1]INSERÇÃO-DE-DADOS'!$E$19</definedName>
    <definedName name="EMPREG_POR_POSTO" localSheetId="8">'[1]INSERÇÃO-DE-DADOS'!$E$19</definedName>
    <definedName name="EMPREG_POR_POSTO" localSheetId="7">'[1]INSERÇÃO-DE-DADOS'!$E$19</definedName>
    <definedName name="EMPREG_POR_POSTO" localSheetId="0">'[1]INSERÇÃO-DE-DADOS'!$E$19</definedName>
    <definedName name="EMPREG_POR_POSTO" localSheetId="4">'[1]INSERÇÃO-DE-DADOS'!$E$19</definedName>
    <definedName name="EMPREG_POR_POSTO" localSheetId="3">'[1]INSERÇÃO-DE-DADOS'!$E$19</definedName>
    <definedName name="EMPREG_POR_POSTO" localSheetId="5">'[1]INSERÇÃO-DE-DADOS'!$E$19</definedName>
    <definedName name="EMPREG_POR_POSTO">'[2]INSERÇÃO-DE-DADOS'!$E$19</definedName>
    <definedName name="EQUIPAMENTOS">'[2]INSERÇÃO-DE-DADOS'!$F$62</definedName>
    <definedName name="HORA_NORMAL" localSheetId="8">'DADOS-ESTATISTICOS'!$F$9</definedName>
    <definedName name="HORA_NORMAL" localSheetId="7">'[4]DADOS-ESTATISTICOS'!$F$9</definedName>
    <definedName name="HORA_NORMAL" localSheetId="4">'[1]DADOS-ESTATISTICOS'!$F$9</definedName>
    <definedName name="HORA_NORMAL" localSheetId="3">'[4]DADOS-ESTATISTICOS'!$F$9</definedName>
    <definedName name="HORA_NORMAL" localSheetId="5">'[1]DADOS-ESTATISTICOS'!$F$9</definedName>
    <definedName name="HORA_NORMAL">#REF!</definedName>
    <definedName name="HORA_NOTURNA" localSheetId="8">'DADOS-ESTATISTICOS'!$F$10</definedName>
    <definedName name="HORA_NOTURNA" localSheetId="7">'[4]DADOS-ESTATISTICOS'!$F$10</definedName>
    <definedName name="HORA_NOTURNA" localSheetId="4">'[1]DADOS-ESTATISTICOS'!$F$10</definedName>
    <definedName name="HORA_NOTURNA" localSheetId="3">'[4]DADOS-ESTATISTICOS'!$F$10</definedName>
    <definedName name="HORA_NOTURNA" localSheetId="5">'[1]DADOS-ESTATISTICOS'!$F$10</definedName>
    <definedName name="HORA_NOTURNA">#REF!</definedName>
    <definedName name="LOCAL_DE_EXECUCAO" localSheetId="2">'[1]INSERÇÃO-DE-DADOS'!$D$12</definedName>
    <definedName name="LOCAL_DE_EXECUCAO" localSheetId="8">'[1]INSERÇÃO-DE-DADOS'!$D$12</definedName>
    <definedName name="LOCAL_DE_EXECUCAO" localSheetId="7">'[1]INSERÇÃO-DE-DADOS'!$D$12</definedName>
    <definedName name="LOCAL_DE_EXECUCAO" localSheetId="0">'[1]INSERÇÃO-DE-DADOS'!$D$12</definedName>
    <definedName name="LOCAL_DE_EXECUCAO" localSheetId="4">'[1]INSERÇÃO-DE-DADOS'!$D$12</definedName>
    <definedName name="LOCAL_DE_EXECUCAO" localSheetId="3">'[1]INSERÇÃO-DE-DADOS'!$D$12</definedName>
    <definedName name="LOCAL_DE_EXECUCAO" localSheetId="5">'[1]INSERÇÃO-DE-DADOS'!$D$12</definedName>
    <definedName name="LOCAL_DE_EXECUCAO">'[2]INSERÇÃO-DE-DADOS'!$D$12</definedName>
    <definedName name="MATERIAIS">'[2]INSERÇÃO-DE-DADOS'!$F$61</definedName>
    <definedName name="MEDIA_ANUAL_DIAS_TRABALHO_MES" localSheetId="8">'DADOS-ESTATISTICOS'!$F$7</definedName>
    <definedName name="MEDIA_ANUAL_DIAS_TRABALHO_MES" localSheetId="7">'[4]DADOS-ESTATISTICOS'!$F$7</definedName>
    <definedName name="MEDIA_ANUAL_DIAS_TRABALHO_MES" localSheetId="4">'[1]DADOS-ESTATISTICOS'!$F$7</definedName>
    <definedName name="MEDIA_ANUAL_DIAS_TRABALHO_MES" localSheetId="3">'[4]DADOS-ESTATISTICOS'!$F$7</definedName>
    <definedName name="MEDIA_ANUAL_DIAS_TRABALHO_MES" localSheetId="5">'[1]DADOS-ESTATISTICOS'!$F$7</definedName>
    <definedName name="MEDIA_ANUAL_DIAS_TRABALHO_MES">#REF!</definedName>
    <definedName name="MESES_NO_ANO" localSheetId="2">'[3]DADOS-ESTATISTICOS'!$F$8</definedName>
    <definedName name="MESES_NO_ANO" localSheetId="8">'DADOS-ESTATISTICOS'!$F$8</definedName>
    <definedName name="MESES_NO_ANO" localSheetId="7">'[4]DADOS-ESTATISTICOS'!$F$8</definedName>
    <definedName name="MESES_NO_ANO" localSheetId="0">'[3]DADOS-ESTATISTICOS'!$F$8</definedName>
    <definedName name="MESES_NO_ANO" localSheetId="4">'[1]DADOS-ESTATISTICOS'!$F$8</definedName>
    <definedName name="MESES_NO_ANO" localSheetId="3">'[4]DADOS-ESTATISTICOS'!$F$8</definedName>
    <definedName name="MESES_NO_ANO" localSheetId="5">'[1]DADOS-ESTATISTICOS'!$F$8</definedName>
    <definedName name="MESES_NO_ANO">#REF!</definedName>
    <definedName name="MOD_1_REMUNERACAO" localSheetId="4">'Oficial de Manutenção'!$F$30</definedName>
    <definedName name="MOD_1_REMUNERACAO" localSheetId="3">'Oficial de Manutenção-Estimado'!$F$30</definedName>
    <definedName name="MOD_2_ENCARGOS_BENEFICIOS" localSheetId="4">'Oficial de Manutenção'!$F$36+'Oficial de Manutenção'!$F$47+'Oficial de Manutenção'!$F$55</definedName>
    <definedName name="MOD_2_ENCARGOS_BENEFICIOS" localSheetId="3">'Oficial de Manutenção-Estimado'!$F$36+'Oficial de Manutenção-Estimado'!$F$47+'Oficial de Manutenção-Estimado'!$F$55</definedName>
    <definedName name="MOD_3_PROVISAO_RESCISAO" localSheetId="4">'Oficial de Manutenção'!$F$61</definedName>
    <definedName name="MOD_3_PROVISAO_RESCISAO" localSheetId="3">'Oficial de Manutenção-Estimado'!$F$61</definedName>
    <definedName name="MOD_4_CUSTO_REPOSICAO" localSheetId="4">'Oficial de Manutenção'!$F$72+'Oficial de Manutenção'!$F$76</definedName>
    <definedName name="MOD_4_CUSTO_REPOSICAO" localSheetId="3">'Oficial de Manutenção-Estimado'!$F$72+'Oficial de Manutenção-Estimado'!$F$76</definedName>
    <definedName name="MOD_5_INSUMOS" localSheetId="4">'Oficial de Manutenção'!$F$84</definedName>
    <definedName name="MOD_5_INSUMOS" localSheetId="3">'Oficial de Manutenção-Estimado'!$F$84</definedName>
    <definedName name="MOD_6_CUSTOS_IND_LUCRO_TRIB" localSheetId="4">'Oficial de Manutenção'!$F$95</definedName>
    <definedName name="MOD_6_CUSTOS_IND_LUCRO_TRIB" localSheetId="3">'Oficial de Manutenção-Estimado'!$F$94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5">'[1]INSERÇÃO-DE-DADOS'!$D$7</definedName>
    <definedName name="MODALIDADE_DE_LICITACAO">'[5]INSERÇÃO-DE-DADOS'!$D$7</definedName>
    <definedName name="NUMERO_MESES_EXEC_CONTRATUAL" localSheetId="2">'[1]INSERÇÃO-DE-DADOS'!$F$15</definedName>
    <definedName name="NUMERO_MESES_EXEC_CONTRATUAL" localSheetId="8">'[1]INSERÇÃO-DE-DADOS'!$F$15</definedName>
    <definedName name="NUMERO_MESES_EXEC_CONTRATUAL" localSheetId="7">'[1]INSERÇÃO-DE-DADOS'!$F$15</definedName>
    <definedName name="NUMERO_MESES_EXEC_CONTRATUAL" localSheetId="0">'[1]INSERÇÃO-DE-DADOS'!$F$15</definedName>
    <definedName name="NUMERO_MESES_EXEC_CONTRATUAL" localSheetId="4">'[1]INSERÇÃO-DE-DADOS'!$F$15</definedName>
    <definedName name="NUMERO_MESES_EXEC_CONTRATUAL" localSheetId="3">'[1]INSERÇÃO-DE-DADOS'!$F$15</definedName>
    <definedName name="NUMERO_MESES_EXEC_CONTRATUAL" localSheetId="5">'[1]INSERÇÃO-DE-DADOS'!$F$15</definedName>
    <definedName name="NUMERO_MESES_EXEC_CONTRATUAL">'[2]INSERÇÃO-DE-DADOS'!$F$15</definedName>
    <definedName name="NUMERO_PREGAO" localSheetId="8">'[1]INSERÇÃO-DE-DADOS'!$F$7</definedName>
    <definedName name="NUMERO_PREGAO" localSheetId="7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5">'[1]INSERÇÃO-DE-DADOS'!$F$7</definedName>
    <definedName name="NUMERO_PREGAO">'[5]INSERÇÃO-DE-DADOS'!$F$7</definedName>
    <definedName name="NUMERO_PROCESSO" localSheetId="8">'[1]INSERÇÃO-DE-DADOS'!$D$6</definedName>
    <definedName name="NUMERO_PROCESSO" localSheetId="7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5">'[1]INSERÇÃO-DE-DADOS'!$D$6</definedName>
    <definedName name="NUMERO_PROCESSO">'[5]INSERÇÃO-DE-DADOS'!$D$6</definedName>
    <definedName name="OUTRAS_AUSENCIAS">'ENCARGOS-SOCIAIS-E-TRABALHISTAS'!$E$31</definedName>
    <definedName name="OUTRAS_AUSENCIAS_DESCRICAO" localSheetId="2">'[1]INSERÇÃO-DE-DADOS'!$C$51</definedName>
    <definedName name="OUTRAS_AUSENCIAS_DESCRICAO" localSheetId="8">'[1]INSERÇÃO-DE-DADOS'!$C$51</definedName>
    <definedName name="OUTRAS_AUSENCIAS_DESCRICAO" localSheetId="7">'[1]INSERÇÃO-DE-DADOS'!$C$51</definedName>
    <definedName name="OUTRAS_AUSENCIAS_DESCRICAO" localSheetId="0">'[1]INSERÇÃO-DE-DADOS'!$C$51</definedName>
    <definedName name="OUTRAS_AUSENCIAS_DESCRICAO" localSheetId="4">'[1]INSERÇÃO-DE-DADOS'!$C$51</definedName>
    <definedName name="OUTRAS_AUSENCIAS_DESCRICAO" localSheetId="3">'[1]INSERÇÃO-DE-DADOS'!$C$51</definedName>
    <definedName name="OUTRAS_AUSENCIAS_DESCRICAO" localSheetId="5">'[1]INSERÇÃO-DE-DADOS'!$C$51</definedName>
    <definedName name="OUTRAS_AUSENCIAS_DESCRICAO">'[2]INSERÇÃO-DE-DADOS'!$C$51</definedName>
    <definedName name="OUTROS_BENEFICIOS_1_DESCRICAO" localSheetId="2">'[1]INSERÇÃO-DE-DADOS'!$C$44</definedName>
    <definedName name="OUTROS_BENEFICIOS_1_DESCRICAO" localSheetId="8">'[1]INSERÇÃO-DE-DADOS'!$C$44</definedName>
    <definedName name="OUTROS_BENEFICIOS_1_DESCRICAO" localSheetId="7">'[1]INSERÇÃO-DE-DADOS'!$C$44</definedName>
    <definedName name="OUTROS_BENEFICIOS_1_DESCRICAO" localSheetId="0">'[1]INSERÇÃO-DE-DADOS'!$C$44</definedName>
    <definedName name="OUTROS_BENEFICIOS_1_DESCRICAO" localSheetId="4">'[1]INSERÇÃO-DE-DADOS'!$C$44</definedName>
    <definedName name="OUTROS_BENEFICIOS_1_DESCRICAO" localSheetId="3">'[1]INSERÇÃO-DE-DADOS'!$C$44</definedName>
    <definedName name="OUTROS_BENEFICIOS_1_DESCRICAO" localSheetId="5">'[1]INSERÇÃO-DE-DADOS'!$C$44</definedName>
    <definedName name="OUTROS_BENEFICIOS_1_DESCRICAO">'[2]INSERÇÃO-DE-DADOS'!$C$44</definedName>
    <definedName name="OUTROS_BENEFICIOS_2" localSheetId="2">'[1]INSERÇÃO-DE-DADOS'!$F$45</definedName>
    <definedName name="OUTROS_BENEFICIOS_2" localSheetId="8">'[1]INSERÇÃO-DE-DADOS'!$F$45</definedName>
    <definedName name="OUTROS_BENEFICIOS_2" localSheetId="7">'[1]INSERÇÃO-DE-DADOS'!$F$45</definedName>
    <definedName name="OUTROS_BENEFICIOS_2" localSheetId="0">'[1]INSERÇÃO-DE-DADOS'!$F$45</definedName>
    <definedName name="OUTROS_BENEFICIOS_2" localSheetId="4">'[1]INSERÇÃO-DE-DADOS'!$F$45</definedName>
    <definedName name="OUTROS_BENEFICIOS_2" localSheetId="3">'[1]INSERÇÃO-DE-DADOS'!$F$45</definedName>
    <definedName name="OUTROS_BENEFICIOS_2" localSheetId="5">'[1]INSERÇÃO-DE-DADOS'!$F$45</definedName>
    <definedName name="OUTROS_BENEFICIOS_2">'[2]INSERÇÃO-DE-DADOS'!$F$45</definedName>
    <definedName name="OUTROS_BENEFICIOS_2_DESCRICAO" localSheetId="2">'[1]INSERÇÃO-DE-DADOS'!$C$45</definedName>
    <definedName name="OUTROS_BENEFICIOS_2_DESCRICAO" localSheetId="8">'[1]INSERÇÃO-DE-DADOS'!$C$45</definedName>
    <definedName name="OUTROS_BENEFICIOS_2_DESCRICAO" localSheetId="7">'[1]INSERÇÃO-DE-DADOS'!$C$45</definedName>
    <definedName name="OUTROS_BENEFICIOS_2_DESCRICAO" localSheetId="0">'[1]INSERÇÃO-DE-DADOS'!$C$45</definedName>
    <definedName name="OUTROS_BENEFICIOS_2_DESCRICAO" localSheetId="4">'[1]INSERÇÃO-DE-DADOS'!$C$45</definedName>
    <definedName name="OUTROS_BENEFICIOS_2_DESCRICAO" localSheetId="3">'[1]INSERÇÃO-DE-DADOS'!$C$45</definedName>
    <definedName name="OUTROS_BENEFICIOS_2_DESCRICAO" localSheetId="5">'[1]INSERÇÃO-DE-DADOS'!$C$45</definedName>
    <definedName name="OUTROS_BENEFICIOS_2_DESCRICAO">'[2]INSERÇÃO-DE-DADOS'!$C$45</definedName>
    <definedName name="OUTROS_BENEFICIOS_3" localSheetId="2">'[1]INSERÇÃO-DE-DADOS'!$F$46</definedName>
    <definedName name="OUTROS_BENEFICIOS_3" localSheetId="8">'[1]INSERÇÃO-DE-DADOS'!$F$46</definedName>
    <definedName name="OUTROS_BENEFICIOS_3" localSheetId="7">'[1]INSERÇÃO-DE-DADOS'!$F$46</definedName>
    <definedName name="OUTROS_BENEFICIOS_3" localSheetId="0">'[1]INSERÇÃO-DE-DADOS'!$F$46</definedName>
    <definedName name="OUTROS_BENEFICIOS_3" localSheetId="4">'[1]INSERÇÃO-DE-DADOS'!$F$46</definedName>
    <definedName name="OUTROS_BENEFICIOS_3" localSheetId="3">'[1]INSERÇÃO-DE-DADOS'!$F$46</definedName>
    <definedName name="OUTROS_BENEFICIOS_3" localSheetId="5">'[1]INSERÇÃO-DE-DADOS'!$F$46</definedName>
    <definedName name="OUTROS_BENEFICIOS_3">'[2]INSERÇÃO-DE-DADOS'!$F$46</definedName>
    <definedName name="OUTROS_BENEFICIOS_3_DESCRICAO" localSheetId="2">'[1]INSERÇÃO-DE-DADOS'!$C$46</definedName>
    <definedName name="OUTROS_BENEFICIOS_3_DESCRICAO" localSheetId="8">'[1]INSERÇÃO-DE-DADOS'!$C$46</definedName>
    <definedName name="OUTROS_BENEFICIOS_3_DESCRICAO" localSheetId="7">'[1]INSERÇÃO-DE-DADOS'!$C$46</definedName>
    <definedName name="OUTROS_BENEFICIOS_3_DESCRICAO" localSheetId="0">'[1]INSERÇÃO-DE-DADOS'!$C$46</definedName>
    <definedName name="OUTROS_BENEFICIOS_3_DESCRICAO" localSheetId="4">'[1]INSERÇÃO-DE-DADOS'!$C$46</definedName>
    <definedName name="OUTROS_BENEFICIOS_3_DESCRICAO" localSheetId="3">'[1]INSERÇÃO-DE-DADOS'!$C$46</definedName>
    <definedName name="OUTROS_BENEFICIOS_3_DESCRICAO" localSheetId="5">'[1]INSERÇÃO-DE-DADOS'!$C$46</definedName>
    <definedName name="OUTROS_BENEFICIOS_3_DESCRICAO">'[2]INSERÇÃO-DE-DADOS'!$C$46</definedName>
    <definedName name="OUTROS_INSUMOS">'[2]INSERÇÃO-DE-DADOS'!$F$63</definedName>
    <definedName name="OUTROS_INSUMOS_DESCRICAO">'[2]INSERÇÃO-DE-DADOS'!$C$63</definedName>
    <definedName name="OUTROS_REMUNERACAO_1" localSheetId="2">'[1]INSERÇÃO-DE-DADOS'!$F$34</definedName>
    <definedName name="OUTROS_REMUNERACAO_1" localSheetId="8">'[1]INSERÇÃO-DE-DADOS'!$F$34</definedName>
    <definedName name="OUTROS_REMUNERACAO_1" localSheetId="7">'[1]INSERÇÃO-DE-DADOS'!$F$34</definedName>
    <definedName name="OUTROS_REMUNERACAO_1" localSheetId="0">'[1]INSERÇÃO-DE-DADOS'!$F$34</definedName>
    <definedName name="OUTROS_REMUNERACAO_1" localSheetId="4">'[1]INSERÇÃO-DE-DADOS'!$F$34</definedName>
    <definedName name="OUTROS_REMUNERACAO_1" localSheetId="3">'[1]INSERÇÃO-DE-DADOS'!$F$34</definedName>
    <definedName name="OUTROS_REMUNERACAO_1" localSheetId="5">'[1]INSERÇÃO-DE-DADOS'!$F$34</definedName>
    <definedName name="OUTROS_REMUNERACAO_1">'[2]INSERÇÃO-DE-DADOS'!$F$34</definedName>
    <definedName name="OUTROS_REMUNERACAO_1_DESCRICAO" localSheetId="2">'[1]INSERÇÃO-DE-DADOS'!$C$34</definedName>
    <definedName name="OUTROS_REMUNERACAO_1_DESCRICAO" localSheetId="8">'[1]INSERÇÃO-DE-DADOS'!$C$34</definedName>
    <definedName name="OUTROS_REMUNERACAO_1_DESCRICAO" localSheetId="7">'[1]INSERÇÃO-DE-DADOS'!$C$34</definedName>
    <definedName name="OUTROS_REMUNERACAO_1_DESCRICAO" localSheetId="0">'[1]INSERÇÃO-DE-DADOS'!$C$34</definedName>
    <definedName name="OUTROS_REMUNERACAO_1_DESCRICAO" localSheetId="4">'[1]INSERÇÃO-DE-DADOS'!$C$34</definedName>
    <definedName name="OUTROS_REMUNERACAO_1_DESCRICAO" localSheetId="3">'[1]INSERÇÃO-DE-DADOS'!$C$34</definedName>
    <definedName name="OUTROS_REMUNERACAO_1_DESCRICAO" localSheetId="5">'[1]INSERÇÃO-DE-DADOS'!$C$34</definedName>
    <definedName name="OUTROS_REMUNERACAO_1_DESCRICAO">'[2]INSERÇÃO-DE-DADOS'!$C$34</definedName>
    <definedName name="OUTROS_REMUNERACAO_2" localSheetId="2">'[1]INSERÇÃO-DE-DADOS'!$F$35</definedName>
    <definedName name="OUTROS_REMUNERACAO_2" localSheetId="8">'[1]INSERÇÃO-DE-DADOS'!$F$35</definedName>
    <definedName name="OUTROS_REMUNERACAO_2" localSheetId="7">'[1]INSERÇÃO-DE-DADOS'!$F$35</definedName>
    <definedName name="OUTROS_REMUNERACAO_2" localSheetId="0">'[1]INSERÇÃO-DE-DADOS'!$F$35</definedName>
    <definedName name="OUTROS_REMUNERACAO_2" localSheetId="4">'[1]INSERÇÃO-DE-DADOS'!$F$35</definedName>
    <definedName name="OUTROS_REMUNERACAO_2" localSheetId="3">'[1]INSERÇÃO-DE-DADOS'!$F$35</definedName>
    <definedName name="OUTROS_REMUNERACAO_2" localSheetId="5">'[1]INSERÇÃO-DE-DADOS'!$F$35</definedName>
    <definedName name="OUTROS_REMUNERACAO_2">'[2]INSERÇÃO-DE-DADOS'!$F$35</definedName>
    <definedName name="OUTROS_REMUNERACAO_2_DESCRICAO" localSheetId="2">'[1]INSERÇÃO-DE-DADOS'!$C$35:$E$35</definedName>
    <definedName name="OUTROS_REMUNERACAO_2_DESCRICAO" localSheetId="8">'[1]INSERÇÃO-DE-DADOS'!$C$35:$E$35</definedName>
    <definedName name="OUTROS_REMUNERACAO_2_DESCRICAO" localSheetId="7">'[1]INSERÇÃO-DE-DADOS'!$C$35:$E$35</definedName>
    <definedName name="OUTROS_REMUNERACAO_2_DESCRICAO" localSheetId="0">'[1]INSERÇÃO-DE-DADOS'!$C$35:$E$35</definedName>
    <definedName name="OUTROS_REMUNERACAO_2_DESCRICAO" localSheetId="4">'[1]INSERÇÃO-DE-DADOS'!$C$35:$E$35</definedName>
    <definedName name="OUTROS_REMUNERACAO_2_DESCRICAO" localSheetId="3">'[1]INSERÇÃO-DE-DADOS'!$C$35:$E$35</definedName>
    <definedName name="OUTROS_REMUNERACAO_2_DESCRICAO" localSheetId="5">'[1]INSERÇÃO-DE-DADOS'!$C$35:$E$35</definedName>
    <definedName name="OUTROS_REMUNERACAO_2_DESCRICAO">'[2]INSERÇÃO-DE-DADOS'!$C$35:$E$35</definedName>
    <definedName name="OUTROS_REMUNERACAO_3" localSheetId="2">'[1]INSERÇÃO-DE-DADOS'!$F$36</definedName>
    <definedName name="OUTROS_REMUNERACAO_3" localSheetId="8">'[1]INSERÇÃO-DE-DADOS'!$F$36</definedName>
    <definedName name="OUTROS_REMUNERACAO_3" localSheetId="7">'[1]INSERÇÃO-DE-DADOS'!$F$36</definedName>
    <definedName name="OUTROS_REMUNERACAO_3" localSheetId="0">'[1]INSERÇÃO-DE-DADOS'!$F$36</definedName>
    <definedName name="OUTROS_REMUNERACAO_3" localSheetId="4">'[1]INSERÇÃO-DE-DADOS'!$F$36</definedName>
    <definedName name="OUTROS_REMUNERACAO_3" localSheetId="3">'[1]INSERÇÃO-DE-DADOS'!$F$36</definedName>
    <definedName name="OUTROS_REMUNERACAO_3" localSheetId="5">'[1]INSERÇÃO-DE-DADOS'!$F$36</definedName>
    <definedName name="OUTROS_REMUNERACAO_3">'[2]INSERÇÃO-DE-DADOS'!$F$36</definedName>
    <definedName name="OUTROS_REMUNERACAO_3_DESCRICAO" localSheetId="2">'[1]INSERÇÃO-DE-DADOS'!$C$36:$E$36</definedName>
    <definedName name="OUTROS_REMUNERACAO_3_DESCRICAO" localSheetId="8">'[1]INSERÇÃO-DE-DADOS'!$C$36:$E$36</definedName>
    <definedName name="OUTROS_REMUNERACAO_3_DESCRICAO" localSheetId="7">'[1]INSERÇÃO-DE-DADOS'!$C$36:$E$36</definedName>
    <definedName name="OUTROS_REMUNERACAO_3_DESCRICAO" localSheetId="0">'[1]INSERÇÃO-DE-DADOS'!$C$36:$E$36</definedName>
    <definedName name="OUTROS_REMUNERACAO_3_DESCRICAO" localSheetId="4">'[1]INSERÇÃO-DE-DADOS'!$C$36:$E$36</definedName>
    <definedName name="OUTROS_REMUNERACAO_3_DESCRICAO" localSheetId="3">'[1]INSERÇÃO-DE-DADOS'!$C$36:$E$36</definedName>
    <definedName name="OUTROS_REMUNERACAO_3_DESCRICAO" localSheetId="5">'[1]INSERÇÃO-DE-DADOS'!$C$36:$E$36</definedName>
    <definedName name="OUTROS_REMUNERACAO_3_DESCRICAO">'[2]INSERÇÃO-DE-DADOS'!$C$36:$E$36</definedName>
    <definedName name="PERC_ADIC_FERIAS" localSheetId="8">'[1]ENCARGOS-SOCIAIS-E-TRABALHISTAS'!$E$6</definedName>
    <definedName name="PERC_ADIC_FERIAS" localSheetId="7">'ENCARGOS-SOCIAIS-E-TRABALHISTAS'!$E$6</definedName>
    <definedName name="PERC_ADIC_FERIAS" localSheetId="4">'[1]ENCARGOS-SOCIAIS-E-TRABALHISTAS'!$E$6</definedName>
    <definedName name="PERC_ADIC_FERIAS" localSheetId="3">'[4]ENCARGOS-SOCIAIS-E-TRABALHISTAS'!$E$6</definedName>
    <definedName name="PERC_ADIC_FERIAS" localSheetId="5">'[1]ENCARGOS-SOCIAIS-E-TRABALHISTAS'!$E$6</definedName>
    <definedName name="PERC_ADIC_FERIAS">'[2]ENCARGOS-SOCIAIS-E-TRABALHISTAS'!$E$6</definedName>
    <definedName name="PERC_ADIC_INS" localSheetId="2">'[1]INSERÇÃO-DE-DADOS'!$F$33</definedName>
    <definedName name="PERC_ADIC_INS" localSheetId="8">'[1]INSERÇÃO-DE-DADOS'!$F$33</definedName>
    <definedName name="PERC_ADIC_INS" localSheetId="7">'[1]INSERÇÃO-DE-DADOS'!$F$33</definedName>
    <definedName name="PERC_ADIC_INS" localSheetId="0">'[1]INSERÇÃO-DE-DADOS'!$F$33</definedName>
    <definedName name="PERC_ADIC_INS" localSheetId="4">'[1]INSERÇÃO-DE-DADOS'!$F$33</definedName>
    <definedName name="PERC_ADIC_INS" localSheetId="3">'[1]INSERÇÃO-DE-DADOS'!$F$33</definedName>
    <definedName name="PERC_ADIC_INS" localSheetId="5">'[1]INSERÇÃO-DE-DADOS'!$F$33</definedName>
    <definedName name="PERC_ADIC_INS">'[2]INSERÇÃO-DE-DADOS'!$F$33</definedName>
    <definedName name="PERC_ADIC_NOT" localSheetId="2">'[1]INSERÇÃO-DE-DADOS'!$F$32</definedName>
    <definedName name="PERC_ADIC_NOT" localSheetId="8">'[1]INSERÇÃO-DE-DADOS'!$F$32</definedName>
    <definedName name="PERC_ADIC_NOT" localSheetId="7">'[1]INSERÇÃO-DE-DADOS'!$F$32</definedName>
    <definedName name="PERC_ADIC_NOT" localSheetId="0">'[1]INSERÇÃO-DE-DADOS'!$F$32</definedName>
    <definedName name="PERC_ADIC_NOT" localSheetId="4">'[1]INSERÇÃO-DE-DADOS'!$F$32</definedName>
    <definedName name="PERC_ADIC_NOT" localSheetId="3">'[1]INSERÇÃO-DE-DADOS'!$F$32</definedName>
    <definedName name="PERC_ADIC_NOT" localSheetId="5">'[1]INSERÇÃO-DE-DADOS'!$F$32</definedName>
    <definedName name="PERC_ADIC_NOT">'[2]INSERÇÃO-DE-DADOS'!$F$32</definedName>
    <definedName name="PERC_ADIC_PERIC" localSheetId="2">'[1]INSERÇÃO-DE-DADOS'!$F$31</definedName>
    <definedName name="PERC_ADIC_PERIC" localSheetId="8">'[1]INSERÇÃO-DE-DADOS'!$F$31</definedName>
    <definedName name="PERC_ADIC_PERIC" localSheetId="7">'[1]INSERÇÃO-DE-DADOS'!$F$31</definedName>
    <definedName name="PERC_ADIC_PERIC" localSheetId="0">'[1]INSERÇÃO-DE-DADOS'!$F$31</definedName>
    <definedName name="PERC_ADIC_PERIC" localSheetId="4">'[1]INSERÇÃO-DE-DADOS'!$F$31</definedName>
    <definedName name="PERC_ADIC_PERIC" localSheetId="3">'[1]INSERÇÃO-DE-DADOS'!$F$31</definedName>
    <definedName name="PERC_ADIC_PERIC" localSheetId="5">'[1]INSERÇÃO-DE-DADOS'!$F$31</definedName>
    <definedName name="PERC_ADIC_PERIC">'[2]INSERÇÃO-DE-DADOS'!$F$31</definedName>
    <definedName name="PERC_AVISO_PREVIO_IND" localSheetId="8">'[1]ENCARGOS-SOCIAIS-E-TRABALHISTAS'!$E$20</definedName>
    <definedName name="PERC_AVISO_PREVIO_IND" localSheetId="7">'ENCARGOS-SOCIAIS-E-TRABALHISTAS'!$E$20</definedName>
    <definedName name="PERC_AVISO_PREVIO_IND" localSheetId="4">'[1]ENCARGOS-SOCIAIS-E-TRABALHISTAS'!$E$20</definedName>
    <definedName name="PERC_AVISO_PREVIO_IND" localSheetId="3">'[4]ENCARGOS-SOCIAIS-E-TRABALHISTAS'!$E$20</definedName>
    <definedName name="PERC_AVISO_PREVIO_IND" localSheetId="5">'[1]ENCARGOS-SOCIAIS-E-TRABALHISTAS'!$E$20</definedName>
    <definedName name="PERC_AVISO_PREVIO_IND">'[2]ENCARGOS-SOCIAIS-E-TRABALHISTAS'!$E$20</definedName>
    <definedName name="PERC_AVISO_PREVIO_TRAB" localSheetId="2">'[1]ENCARGOS-SOCIAIS-E-TRABALHISTAS'!$E$21</definedName>
    <definedName name="PERC_AVISO_PREVIO_TRAB" localSheetId="8">'[1]ENCARGOS-SOCIAIS-E-TRABALHISTAS'!$E$21</definedName>
    <definedName name="PERC_AVISO_PREVIO_TRAB" localSheetId="7">'[1]ENCARGOS-SOCIAIS-E-TRABALHISTAS'!$E$21</definedName>
    <definedName name="PERC_AVISO_PREVIO_TRAB" localSheetId="0">'[1]ENCARGOS-SOCIAIS-E-TRABALHISTAS'!$E$21</definedName>
    <definedName name="PERC_AVISO_PREVIO_TRAB" localSheetId="4">'[1]ENCARGOS-SOCIAIS-E-TRABALHISTAS'!$E$21</definedName>
    <definedName name="PERC_AVISO_PREVIO_TRAB" localSheetId="3">'[1]ENCARGOS-SOCIAIS-E-TRABALHISTAS'!$E$21</definedName>
    <definedName name="PERC_AVISO_PREVIO_TRAB" localSheetId="5">'[1]ENCARGOS-SOCIAIS-E-TRABALHISTAS'!$E$21</definedName>
    <definedName name="PERC_AVISO_PREVIO_TRAB">'[2]ENCARGOS-SOCIAIS-E-TRABALHISTAS'!$E$21</definedName>
    <definedName name="PERC_COFINS" localSheetId="2">'[1]INSERÇÃO-DE-DADOS'!$F$70</definedName>
    <definedName name="PERC_COFINS" localSheetId="8">'[1]INSERÇÃO-DE-DADOS'!$F$70</definedName>
    <definedName name="PERC_COFINS" localSheetId="7">'[1]INSERÇÃO-DE-DADOS'!$F$70</definedName>
    <definedName name="PERC_COFINS" localSheetId="0">'[1]INSERÇÃO-DE-DADOS'!$F$70</definedName>
    <definedName name="PERC_COFINS" localSheetId="4">'[1]INSERÇÃO-DE-DADOS'!$F$70</definedName>
    <definedName name="PERC_COFINS" localSheetId="3">'[1]INSERÇÃO-DE-DADOS'!$F$70</definedName>
    <definedName name="PERC_COFINS" localSheetId="5">'[1]INSERÇÃO-DE-DADOS'!$F$70</definedName>
    <definedName name="PERC_COFINS">'[2]INSERÇÃO-DE-DADOS'!$F$70</definedName>
    <definedName name="PERC_CUSTOS_INDIRETOS" localSheetId="2">'[1]INSERÇÃO-DE-DADOS'!$F$67</definedName>
    <definedName name="PERC_CUSTOS_INDIRETOS" localSheetId="8">'[1]INSERÇÃO-DE-DADOS'!$F$67</definedName>
    <definedName name="PERC_CUSTOS_INDIRETOS" localSheetId="7">'[1]INSERÇÃO-DE-DADOS'!$F$67</definedName>
    <definedName name="PERC_CUSTOS_INDIRETOS" localSheetId="0">'[1]INSERÇÃO-DE-DADOS'!$F$67</definedName>
    <definedName name="PERC_CUSTOS_INDIRETOS" localSheetId="4">'[1]INSERÇÃO-DE-DADOS'!$F$67</definedName>
    <definedName name="PERC_CUSTOS_INDIRETOS" localSheetId="3">'[1]INSERÇÃO-DE-DADOS'!$F$67</definedName>
    <definedName name="PERC_CUSTOS_INDIRETOS" localSheetId="5">'[1]INSERÇÃO-DE-DADOS'!$F$67</definedName>
    <definedName name="PERC_CUSTOS_INDIRETOS">'[2]INSERÇÃO-DE-DADOS'!$F$67</definedName>
    <definedName name="PERC_DEC_TERC" localSheetId="8">'[1]ENCARGOS-SOCIAIS-E-TRABALHISTAS'!$E$5</definedName>
    <definedName name="PERC_DEC_TERC" localSheetId="7">'ENCARGOS-SOCIAIS-E-TRABALHISTAS'!$E$5</definedName>
    <definedName name="PERC_DEC_TERC" localSheetId="4">'[1]ENCARGOS-SOCIAIS-E-TRABALHISTAS'!$E$5</definedName>
    <definedName name="PERC_DEC_TERC" localSheetId="3">'[4]ENCARGOS-SOCIAIS-E-TRABALHISTAS'!$E$5</definedName>
    <definedName name="PERC_DEC_TERC" localSheetId="5">'[1]ENCARGOS-SOCIAIS-E-TRABALHISTAS'!$E$5</definedName>
    <definedName name="PERC_DEC_TERC">'[2]ENCARGOS-SOCIAIS-E-TRABALHISTAS'!$E$5</definedName>
    <definedName name="PERC_DESC_TRANSP_REMUNERACAO" localSheetId="8">'DADOS-ESTATISTICOS'!$F$14</definedName>
    <definedName name="PERC_DESC_TRANSP_REMUNERACAO" localSheetId="7">'[4]DADOS-ESTATISTICOS'!$F$14</definedName>
    <definedName name="PERC_DESC_TRANSP_REMUNERACAO" localSheetId="4">'[1]DADOS-ESTATISTICOS'!$F$14</definedName>
    <definedName name="PERC_DESC_TRANSP_REMUNERACAO" localSheetId="3">'[4]DADOS-ESTATISTICOS'!$F$14</definedName>
    <definedName name="PERC_DESC_TRANSP_REMUNERACAO" localSheetId="5">'[1]DADOS-ESTATISTICOS'!$F$14</definedName>
    <definedName name="PERC_DESC_TRANSP_REMUNERACAO">#REF!</definedName>
    <definedName name="PERC_EMPREG_AFAST_TRAB" localSheetId="2">'[3]DADOS-ESTATISTICOS'!$F$31</definedName>
    <definedName name="PERC_EMPREG_AFAST_TRAB" localSheetId="8">'DADOS-ESTATISTICOS'!$F$31</definedName>
    <definedName name="PERC_EMPREG_AFAST_TRAB" localSheetId="7">'[4]DADOS-ESTATISTICOS'!$F$31</definedName>
    <definedName name="PERC_EMPREG_AFAST_TRAB" localSheetId="0">'[3]DADOS-ESTATISTICOS'!$F$31</definedName>
    <definedName name="PERC_EMPREG_AFAST_TRAB" localSheetId="4">'[1]DADOS-ESTATISTICOS'!$F$31</definedName>
    <definedName name="PERC_EMPREG_AFAST_TRAB" localSheetId="3">'[4]DADOS-ESTATISTICOS'!$F$31</definedName>
    <definedName name="PERC_EMPREG_AFAST_TRAB" localSheetId="5">'[1]DADOS-ESTATISTICOS'!$F$31</definedName>
    <definedName name="PERC_EMPREG_AFAST_TRAB">#REF!</definedName>
    <definedName name="PERC_EMPREG_AVISO_PREVIO_IND" localSheetId="2">'[3]DADOS-ESTATISTICOS'!$F$19</definedName>
    <definedName name="PERC_EMPREG_AVISO_PREVIO_IND" localSheetId="8">'DADOS-ESTATISTICOS'!$F$19</definedName>
    <definedName name="PERC_EMPREG_AVISO_PREVIO_IND" localSheetId="7">'[4]DADOS-ESTATISTICOS'!$F$19</definedName>
    <definedName name="PERC_EMPREG_AVISO_PREVIO_IND" localSheetId="0">'[3]DADOS-ESTATISTICOS'!$F$19</definedName>
    <definedName name="PERC_EMPREG_AVISO_PREVIO_IND" localSheetId="4">'[1]DADOS-ESTATISTICOS'!$F$19</definedName>
    <definedName name="PERC_EMPREG_AVISO_PREVIO_IND" localSheetId="3">'[4]DADOS-ESTATISTICOS'!$F$19</definedName>
    <definedName name="PERC_EMPREG_AVISO_PREVIO_IND" localSheetId="5">'[1]DADOS-ESTATISTICOS'!$F$19</definedName>
    <definedName name="PERC_EMPREG_AVISO_PREVIO_IND">#REF!</definedName>
    <definedName name="PERC_EMPREG_AVISO_PREVIO_TRAB" localSheetId="2">'[3]DADOS-ESTATISTICOS'!$F$21</definedName>
    <definedName name="PERC_EMPREG_AVISO_PREVIO_TRAB" localSheetId="8">'DADOS-ESTATISTICOS'!$F$21</definedName>
    <definedName name="PERC_EMPREG_AVISO_PREVIO_TRAB" localSheetId="7">'[4]DADOS-ESTATISTICOS'!$F$21</definedName>
    <definedName name="PERC_EMPREG_AVISO_PREVIO_TRAB" localSheetId="0">'[3]DADOS-ESTATISTICOS'!$F$21</definedName>
    <definedName name="PERC_EMPREG_AVISO_PREVIO_TRAB" localSheetId="4">'[1]DADOS-ESTATISTICOS'!$F$21</definedName>
    <definedName name="PERC_EMPREG_AVISO_PREVIO_TRAB" localSheetId="3">'[4]DADOS-ESTATISTICOS'!$F$21</definedName>
    <definedName name="PERC_EMPREG_AVISO_PREVIO_TRAB" localSheetId="5">'[1]DADOS-ESTATISTICOS'!$F$21</definedName>
    <definedName name="PERC_EMPREG_AVISO_PREVIO_TRAB">#REF!</definedName>
    <definedName name="PERC_EMPREG_DEMIT_SEM_JUSTA_CAUSA_TOTAL_DESLIG" localSheetId="2">'[3]DADOS-ESTATISTICOS'!$F$18</definedName>
    <definedName name="PERC_EMPREG_DEMIT_SEM_JUSTA_CAUSA_TOTAL_DESLIG" localSheetId="8">'DADOS-ESTATISTICOS'!$F$18</definedName>
    <definedName name="PERC_EMPREG_DEMIT_SEM_JUSTA_CAUSA_TOTAL_DESLIG" localSheetId="7">'[4]DADOS-ESTATISTICOS'!$F$18</definedName>
    <definedName name="PERC_EMPREG_DEMIT_SEM_JUSTA_CAUSA_TOTAL_DESLIG" localSheetId="0">'[3]DADOS-ESTATISTICOS'!$F$18</definedName>
    <definedName name="PERC_EMPREG_DEMIT_SEM_JUSTA_CAUSA_TOTAL_DESLIG" localSheetId="4">'[1]DADOS-ESTATISTICOS'!$F$18</definedName>
    <definedName name="PERC_EMPREG_DEMIT_SEM_JUSTA_CAUSA_TOTAL_DESLIG" localSheetId="3">'[4]DADOS-ESTATISTICOS'!$F$18</definedName>
    <definedName name="PERC_EMPREG_DEMIT_SEM_JUSTA_CAUSA_TOTAL_DESLIG" localSheetId="5">'[1]DADOS-ESTATISTICOS'!$F$18</definedName>
    <definedName name="PERC_EMPREG_DEMIT_SEM_JUSTA_CAUSA_TOTAL_DESLIG">#REF!</definedName>
    <definedName name="PERC_FGTS" localSheetId="2">'[1]ENCARGOS-SOCIAIS-E-TRABALHISTAS'!$E$16</definedName>
    <definedName name="PERC_FGTS" localSheetId="8">'[1]ENCARGOS-SOCIAIS-E-TRABALHISTAS'!$E$16</definedName>
    <definedName name="PERC_FGTS" localSheetId="7">'[1]ENCARGOS-SOCIAIS-E-TRABALHISTAS'!$E$16</definedName>
    <definedName name="PERC_FGTS" localSheetId="0">'[1]ENCARGOS-SOCIAIS-E-TRABALHISTAS'!$E$16</definedName>
    <definedName name="PERC_FGTS" localSheetId="4">'[1]ENCARGOS-SOCIAIS-E-TRABALHISTAS'!$E$16</definedName>
    <definedName name="PERC_FGTS" localSheetId="3">'[1]ENCARGOS-SOCIAIS-E-TRABALHISTAS'!$E$16</definedName>
    <definedName name="PERC_FGTS" localSheetId="5">'[1]ENCARGOS-SOCIAIS-E-TRABALHISTAS'!$E$16</definedName>
    <definedName name="PERC_FGTS">'[2]ENCARGOS-SOCIAIS-E-TRABALHISTAS'!$E$16</definedName>
    <definedName name="PERC_GPS_FGTS" localSheetId="2">'[1]ENCARGOS-SOCIAIS-E-TRABALHISTAS'!$E$17</definedName>
    <definedName name="PERC_GPS_FGTS" localSheetId="8">'[1]ENCARGOS-SOCIAIS-E-TRABALHISTAS'!$E$17</definedName>
    <definedName name="PERC_GPS_FGTS" localSheetId="7">'[1]ENCARGOS-SOCIAIS-E-TRABALHISTAS'!$E$17</definedName>
    <definedName name="PERC_GPS_FGTS" localSheetId="0">'[1]ENCARGOS-SOCIAIS-E-TRABALHISTAS'!$E$17</definedName>
    <definedName name="PERC_GPS_FGTS" localSheetId="4">'[1]ENCARGOS-SOCIAIS-E-TRABALHISTAS'!$E$17</definedName>
    <definedName name="PERC_GPS_FGTS" localSheetId="3">'[1]ENCARGOS-SOCIAIS-E-TRABALHISTAS'!$E$17</definedName>
    <definedName name="PERC_GPS_FGTS" localSheetId="5">'[1]ENCARGOS-SOCIAIS-E-TRABALHISTAS'!$E$17</definedName>
    <definedName name="PERC_GPS_FGTS">'[2]ENCARGOS-SOCIAIS-E-TRABALHISTAS'!$E$17</definedName>
    <definedName name="PERC_HORA_EXTRA" localSheetId="2">'[1]INSERÇÃO-DE-DADOS'!$F$55</definedName>
    <definedName name="PERC_HORA_EXTRA" localSheetId="8">'[1]INSERÇÃO-DE-DADOS'!$F$55</definedName>
    <definedName name="PERC_HORA_EXTRA" localSheetId="7">'[1]INSERÇÃO-DE-DADOS'!$F$55</definedName>
    <definedName name="PERC_HORA_EXTRA" localSheetId="0">'[1]INSERÇÃO-DE-DADOS'!$F$55</definedName>
    <definedName name="PERC_HORA_EXTRA" localSheetId="4">'[1]INSERÇÃO-DE-DADOS'!$F$55</definedName>
    <definedName name="PERC_HORA_EXTRA" localSheetId="3">'[1]INSERÇÃO-DE-DADOS'!$F$55</definedName>
    <definedName name="PERC_HORA_EXTRA" localSheetId="5">'[1]INSERÇÃO-DE-DADOS'!$F$55</definedName>
    <definedName name="PERC_HORA_EXTRA">'[2]INSERÇÃO-DE-DADOS'!$F$55</definedName>
    <definedName name="PERC_INCRA" localSheetId="8">'[1]ENCARGOS-SOCIAIS-E-TRABALHISTAS'!$E$15</definedName>
    <definedName name="PERC_INCRA" localSheetId="7">'ENCARGOS-SOCIAIS-E-TRABALHISTAS'!$E$15</definedName>
    <definedName name="PERC_INCRA" localSheetId="4">'[1]ENCARGOS-SOCIAIS-E-TRABALHISTAS'!$E$15</definedName>
    <definedName name="PERC_INCRA" localSheetId="3">'[4]ENCARGOS-SOCIAIS-E-TRABALHISTAS'!$E$15</definedName>
    <definedName name="PERC_INCRA" localSheetId="5">'[1]ENCARGOS-SOCIAIS-E-TRABALHISTAS'!$E$15</definedName>
    <definedName name="PERC_INCRA">'[2]ENCARGOS-SOCIAIS-E-TRABALHISTAS'!$E$15</definedName>
    <definedName name="PERC_INSS" localSheetId="8">'[1]ENCARGOS-SOCIAIS-E-TRABALHISTAS'!$E$9</definedName>
    <definedName name="PERC_INSS" localSheetId="7">'ENCARGOS-SOCIAIS-E-TRABALHISTAS'!$E$9</definedName>
    <definedName name="PERC_INSS" localSheetId="4">'[1]ENCARGOS-SOCIAIS-E-TRABALHISTAS'!$E$9</definedName>
    <definedName name="PERC_INSS" localSheetId="3">'[4]ENCARGOS-SOCIAIS-E-TRABALHISTAS'!$E$9</definedName>
    <definedName name="PERC_INSS" localSheetId="5">'[1]ENCARGOS-SOCIAIS-E-TRABALHISTAS'!$E$9</definedName>
    <definedName name="PERC_INSS">'[2]ENCARGOS-SOCIAIS-E-TRABALHISTAS'!$E$9</definedName>
    <definedName name="PERC_ISS" localSheetId="2">'[1]INSERÇÃO-DE-DADOS'!$F$71</definedName>
    <definedName name="PERC_ISS" localSheetId="8">'[1]INSERÇÃO-DE-DADOS'!$F$71</definedName>
    <definedName name="PERC_ISS" localSheetId="7">'[1]INSERÇÃO-DE-DADOS'!$F$71</definedName>
    <definedName name="PERC_ISS" localSheetId="0">'[1]INSERÇÃO-DE-DADOS'!$F$71</definedName>
    <definedName name="PERC_ISS" localSheetId="4">'[1]INSERÇÃO-DE-DADOS'!$F$71</definedName>
    <definedName name="PERC_ISS" localSheetId="3">'[1]INSERÇÃO-DE-DADOS'!$F$71</definedName>
    <definedName name="PERC_ISS" localSheetId="5">'[1]INSERÇÃO-DE-DADOS'!$F$71</definedName>
    <definedName name="PERC_ISS">'[2]INSERÇÃO-DE-DADOS'!$F$71</definedName>
    <definedName name="PERC_LUCRO" localSheetId="2">'[1]INSERÇÃO-DE-DADOS'!$F$68</definedName>
    <definedName name="PERC_LUCRO" localSheetId="8">'[1]INSERÇÃO-DE-DADOS'!$F$68</definedName>
    <definedName name="PERC_LUCRO" localSheetId="7">'[1]INSERÇÃO-DE-DADOS'!$F$68</definedName>
    <definedName name="PERC_LUCRO" localSheetId="0">'[1]INSERÇÃO-DE-DADOS'!$F$68</definedName>
    <definedName name="PERC_LUCRO" localSheetId="4">'[1]INSERÇÃO-DE-DADOS'!$F$68</definedName>
    <definedName name="PERC_LUCRO" localSheetId="3">'[1]INSERÇÃO-DE-DADOS'!$F$68</definedName>
    <definedName name="PERC_LUCRO" localSheetId="5">'[1]INSERÇÃO-DE-DADOS'!$F$68</definedName>
    <definedName name="PERC_LUCRO">'[2]INSERÇÃO-DE-DADOS'!$F$68</definedName>
    <definedName name="PERC_MOD_3_PROVISAO_RESCISAO" localSheetId="4">'Oficial de Manutenção'!$E$61</definedName>
    <definedName name="PERC_MOD_3_PROVISAO_RESCISAO" localSheetId="3">'Oficial de Manutenção-Estimado'!$E$61</definedName>
    <definedName name="PERC_MULTA_FGTS" localSheetId="2">'[3]DADOS-ESTATISTICOS'!$F$20</definedName>
    <definedName name="PERC_MULTA_FGTS" localSheetId="8">'DADOS-ESTATISTICOS'!$F$20</definedName>
    <definedName name="PERC_MULTA_FGTS" localSheetId="7">'[4]DADOS-ESTATISTICOS'!$F$20</definedName>
    <definedName name="PERC_MULTA_FGTS" localSheetId="0">'[3]DADOS-ESTATISTICOS'!$F$20</definedName>
    <definedName name="PERC_MULTA_FGTS" localSheetId="4">'[1]DADOS-ESTATISTICOS'!$F$20</definedName>
    <definedName name="PERC_MULTA_FGTS" localSheetId="3">'[4]DADOS-ESTATISTICOS'!$F$20</definedName>
    <definedName name="PERC_MULTA_FGTS" localSheetId="5">'[1]DADOS-ESTATISTICOS'!$F$20</definedName>
    <definedName name="PERC_MULTA_FGTS">#REF!</definedName>
    <definedName name="PERC_MULTA_FGTS_AV_PREV_TRAB" localSheetId="8">'[1]ENCARGOS-SOCIAIS-E-TRABALHISTAS'!$E$22</definedName>
    <definedName name="PERC_MULTA_FGTS_AV_PREV_TRAB" localSheetId="7">'ENCARGOS-SOCIAIS-E-TRABALHISTAS'!$E$22</definedName>
    <definedName name="PERC_MULTA_FGTS_AV_PREV_TRAB" localSheetId="4">'[1]ENCARGOS-SOCIAIS-E-TRABALHISTAS'!$E$22</definedName>
    <definedName name="PERC_MULTA_FGTS_AV_PREV_TRAB" localSheetId="3">'[4]ENCARGOS-SOCIAIS-E-TRABALHISTAS'!$E$22</definedName>
    <definedName name="PERC_MULTA_FGTS_AV_PREV_TRAB" localSheetId="5">'[1]ENCARGOS-SOCIAIS-E-TRABALHISTAS'!$E$22</definedName>
    <definedName name="PERC_MULTA_FGTS_AV_PREV_TRAB">'[2]ENCARGOS-SOCIAIS-E-TRABALHISTAS'!$E$22</definedName>
    <definedName name="PERC_NASCIDOS_VIVOS_POPUL_FEM" localSheetId="2">'[3]DADOS-ESTATISTICOS'!$F$29</definedName>
    <definedName name="PERC_NASCIDOS_VIVOS_POPUL_FEM" localSheetId="8">'DADOS-ESTATISTICOS'!$F$29</definedName>
    <definedName name="PERC_NASCIDOS_VIVOS_POPUL_FEM" localSheetId="7">'[4]DADOS-ESTATISTICOS'!$F$29</definedName>
    <definedName name="PERC_NASCIDOS_VIVOS_POPUL_FEM" localSheetId="0">'[3]DADOS-ESTATISTICOS'!$F$29</definedName>
    <definedName name="PERC_NASCIDOS_VIVOS_POPUL_FEM" localSheetId="4">'[1]DADOS-ESTATISTICOS'!$F$29</definedName>
    <definedName name="PERC_NASCIDOS_VIVOS_POPUL_FEM" localSheetId="3">'[4]DADOS-ESTATISTICOS'!$F$29</definedName>
    <definedName name="PERC_NASCIDOS_VIVOS_POPUL_FEM" localSheetId="5">'[1]DADOS-ESTATISTICOS'!$F$29</definedName>
    <definedName name="PERC_NASCIDOS_VIVOS_POPUL_FEM">#REF!</definedName>
    <definedName name="PERC_PARTIC_FEM_VIGIL" localSheetId="2">'[3]DADOS-ESTATISTICOS'!$F$34</definedName>
    <definedName name="PERC_PARTIC_FEM_VIGIL" localSheetId="8">'DADOS-ESTATISTICOS'!$F$34</definedName>
    <definedName name="PERC_PARTIC_FEM_VIGIL" localSheetId="7">'[4]DADOS-ESTATISTICOS'!$F$34</definedName>
    <definedName name="PERC_PARTIC_FEM_VIGIL" localSheetId="0">'[3]DADOS-ESTATISTICOS'!$F$34</definedName>
    <definedName name="PERC_PARTIC_FEM_VIGIL" localSheetId="4">'[1]DADOS-ESTATISTICOS'!$F$34</definedName>
    <definedName name="PERC_PARTIC_FEM_VIGIL" localSheetId="3">'[4]DADOS-ESTATISTICOS'!$F$34</definedName>
    <definedName name="PERC_PARTIC_FEM_VIGIL" localSheetId="5">'[1]DADOS-ESTATISTICOS'!$F$34</definedName>
    <definedName name="PERC_PARTIC_FEM_VIGIL">#REF!</definedName>
    <definedName name="PERC_PARTIC_MASC_VIGIL" localSheetId="2">'[3]DADOS-ESTATISTICOS'!$F$30</definedName>
    <definedName name="PERC_PARTIC_MASC_VIGIL" localSheetId="8">'DADOS-ESTATISTICOS'!$F$30</definedName>
    <definedName name="PERC_PARTIC_MASC_VIGIL" localSheetId="7">'[4]DADOS-ESTATISTICOS'!$F$30</definedName>
    <definedName name="PERC_PARTIC_MASC_VIGIL" localSheetId="0">'[3]DADOS-ESTATISTICOS'!$F$30</definedName>
    <definedName name="PERC_PARTIC_MASC_VIGIL" localSheetId="4">'[1]DADOS-ESTATISTICOS'!$F$30</definedName>
    <definedName name="PERC_PARTIC_MASC_VIGIL" localSheetId="3">'[4]DADOS-ESTATISTICOS'!$F$30</definedName>
    <definedName name="PERC_PARTIC_MASC_VIGIL" localSheetId="5">'[1]DADOS-ESTATISTICOS'!$F$30</definedName>
    <definedName name="PERC_PARTIC_MASC_VIGIL">#REF!</definedName>
    <definedName name="PERC_PIS" localSheetId="2">'[1]INSERÇÃO-DE-DADOS'!$F$69</definedName>
    <definedName name="PERC_PIS" localSheetId="8">'[1]INSERÇÃO-DE-DADOS'!$F$69</definedName>
    <definedName name="PERC_PIS" localSheetId="7">'[1]INSERÇÃO-DE-DADOS'!$F$69</definedName>
    <definedName name="PERC_PIS" localSheetId="0">'[1]INSERÇÃO-DE-DADOS'!$F$69</definedName>
    <definedName name="PERC_PIS" localSheetId="4">'[1]INSERÇÃO-DE-DADOS'!$F$69</definedName>
    <definedName name="PERC_PIS" localSheetId="3">'[1]INSERÇÃO-DE-DADOS'!$F$69</definedName>
    <definedName name="PERC_PIS" localSheetId="5">'[1]INSERÇÃO-DE-DADOS'!$F$69</definedName>
    <definedName name="PERC_PIS">'[2]INSERÇÃO-DE-DADOS'!$F$69</definedName>
    <definedName name="PERC_RAT" localSheetId="8">'[1]ENCARGOS-SOCIAIS-E-TRABALHISTAS'!$E$11</definedName>
    <definedName name="PERC_RAT" localSheetId="7">'ENCARGOS-SOCIAIS-E-TRABALHISTAS'!$E$11</definedName>
    <definedName name="PERC_RAT" localSheetId="4">'[1]ENCARGOS-SOCIAIS-E-TRABALHISTAS'!$E$11</definedName>
    <definedName name="PERC_RAT" localSheetId="3">'[4]ENCARGOS-SOCIAIS-E-TRABALHISTAS'!$E$11</definedName>
    <definedName name="PERC_RAT" localSheetId="5">'[1]ENCARGOS-SOCIAIS-E-TRABALHISTAS'!$E$11</definedName>
    <definedName name="PERC_RAT">'[2]ENCARGOS-SOCIAIS-E-TRABALHISTAS'!$E$11</definedName>
    <definedName name="PERC_SAL_EDUCACAO" localSheetId="8">'[1]ENCARGOS-SOCIAIS-E-TRABALHISTAS'!$E$10</definedName>
    <definedName name="PERC_SAL_EDUCACAO" localSheetId="7">'ENCARGOS-SOCIAIS-E-TRABALHISTAS'!$E$10</definedName>
    <definedName name="PERC_SAL_EDUCACAO" localSheetId="4">'[1]ENCARGOS-SOCIAIS-E-TRABALHISTAS'!$E$10</definedName>
    <definedName name="PERC_SAL_EDUCACAO" localSheetId="3">'[4]ENCARGOS-SOCIAIS-E-TRABALHISTAS'!$E$10</definedName>
    <definedName name="PERC_SAL_EDUCACAO" localSheetId="5">'[1]ENCARGOS-SOCIAIS-E-TRABALHISTAS'!$E$10</definedName>
    <definedName name="PERC_SAL_EDUCACAO">'[2]ENCARGOS-SOCIAIS-E-TRABALHISTAS'!$E$10</definedName>
    <definedName name="PERC_SEBRAE" localSheetId="8">'[1]ENCARGOS-SOCIAIS-E-TRABALHISTAS'!$E$14</definedName>
    <definedName name="PERC_SEBRAE" localSheetId="7">'ENCARGOS-SOCIAIS-E-TRABALHISTAS'!$E$14</definedName>
    <definedName name="PERC_SEBRAE" localSheetId="4">'[1]ENCARGOS-SOCIAIS-E-TRABALHISTAS'!$E$14</definedName>
    <definedName name="PERC_SEBRAE" localSheetId="3">'[4]ENCARGOS-SOCIAIS-E-TRABALHISTAS'!$E$14</definedName>
    <definedName name="PERC_SEBRAE" localSheetId="5">'[1]ENCARGOS-SOCIAIS-E-TRABALHISTAS'!$E$14</definedName>
    <definedName name="PERC_SEBRAE">'[2]ENCARGOS-SOCIAIS-E-TRABALHISTAS'!$E$14</definedName>
    <definedName name="PERC_SENAC" localSheetId="8">'[1]ENCARGOS-SOCIAIS-E-TRABALHISTAS'!$E$13</definedName>
    <definedName name="PERC_SENAC" localSheetId="7">'ENCARGOS-SOCIAIS-E-TRABALHISTAS'!$E$13</definedName>
    <definedName name="PERC_SENAC" localSheetId="4">'[1]ENCARGOS-SOCIAIS-E-TRABALHISTAS'!$E$13</definedName>
    <definedName name="PERC_SENAC" localSheetId="3">'[4]ENCARGOS-SOCIAIS-E-TRABALHISTAS'!$E$13</definedName>
    <definedName name="PERC_SENAC" localSheetId="5">'[1]ENCARGOS-SOCIAIS-E-TRABALHISTAS'!$E$13</definedName>
    <definedName name="PERC_SENAC">'[2]ENCARGOS-SOCIAIS-E-TRABALHISTAS'!$E$13</definedName>
    <definedName name="PERC_SESC" localSheetId="8">'[1]ENCARGOS-SOCIAIS-E-TRABALHISTAS'!$E$12</definedName>
    <definedName name="PERC_SESC" localSheetId="7">'ENCARGOS-SOCIAIS-E-TRABALHISTAS'!$E$12</definedName>
    <definedName name="PERC_SESC" localSheetId="4">'[1]ENCARGOS-SOCIAIS-E-TRABALHISTAS'!$E$12</definedName>
    <definedName name="PERC_SESC" localSheetId="3">'[4]ENCARGOS-SOCIAIS-E-TRABALHISTAS'!$E$12</definedName>
    <definedName name="PERC_SESC" localSheetId="5">'[1]ENCARGOS-SOCIAIS-E-TRABALHISTAS'!$E$12</definedName>
    <definedName name="PERC_SESC">'[2]ENCARGOS-SOCIAIS-E-TRABALHISTAS'!$E$12</definedName>
    <definedName name="PERC_SUBSTITUTO_ACID_TRAB" localSheetId="8">'[1]ENCARGOS-SOCIAIS-E-TRABALHISTAS'!$E$29</definedName>
    <definedName name="PERC_SUBSTITUTO_ACID_TRAB" localSheetId="7">'ENCARGOS-SOCIAIS-E-TRABALHISTAS'!$E$29</definedName>
    <definedName name="PERC_SUBSTITUTO_ACID_TRAB" localSheetId="4">'[1]ENCARGOS-SOCIAIS-E-TRABALHISTAS'!$E$29</definedName>
    <definedName name="PERC_SUBSTITUTO_ACID_TRAB" localSheetId="3">'[4]ENCARGOS-SOCIAIS-E-TRABALHISTAS'!$E$29</definedName>
    <definedName name="PERC_SUBSTITUTO_ACID_TRAB" localSheetId="5">'[1]ENCARGOS-SOCIAIS-E-TRABALHISTAS'!$E$29</definedName>
    <definedName name="PERC_SUBSTITUTO_ACID_TRAB">'[2]ENCARGOS-SOCIAIS-E-TRABALHISTAS'!$E$29</definedName>
    <definedName name="PERC_SUBSTITUTO_AFAST_MATERN" localSheetId="8">'[1]ENCARGOS-SOCIAIS-E-TRABALHISTAS'!$E$30</definedName>
    <definedName name="PERC_SUBSTITUTO_AFAST_MATERN" localSheetId="7">'ENCARGOS-SOCIAIS-E-TRABALHISTAS'!$E$30</definedName>
    <definedName name="PERC_SUBSTITUTO_AFAST_MATERN" localSheetId="4">'[1]ENCARGOS-SOCIAIS-E-TRABALHISTAS'!$E$30</definedName>
    <definedName name="PERC_SUBSTITUTO_AFAST_MATERN" localSheetId="3">'[4]ENCARGOS-SOCIAIS-E-TRABALHISTAS'!$E$30</definedName>
    <definedName name="PERC_SUBSTITUTO_AFAST_MATERN" localSheetId="5">'[1]ENCARGOS-SOCIAIS-E-TRABALHISTAS'!$E$30</definedName>
    <definedName name="PERC_SUBSTITUTO_AFAST_MATERN">'[2]ENCARGOS-SOCIAIS-E-TRABALHISTAS'!$E$30</definedName>
    <definedName name="PERC_SUBSTITUTO_AUSENCIAS_LEGAIS" localSheetId="8">'[1]ENCARGOS-SOCIAIS-E-TRABALHISTAS'!$E$27</definedName>
    <definedName name="PERC_SUBSTITUTO_AUSENCIAS_LEGAIS" localSheetId="7">'ENCARGOS-SOCIAIS-E-TRABALHISTAS'!$E$27</definedName>
    <definedName name="PERC_SUBSTITUTO_AUSENCIAS_LEGAIS" localSheetId="4">'[1]ENCARGOS-SOCIAIS-E-TRABALHISTAS'!$E$27</definedName>
    <definedName name="PERC_SUBSTITUTO_AUSENCIAS_LEGAIS" localSheetId="3">'[4]ENCARGOS-SOCIAIS-E-TRABALHISTAS'!$E$27</definedName>
    <definedName name="PERC_SUBSTITUTO_AUSENCIAS_LEGAIS" localSheetId="5">'[1]ENCARGOS-SOCIAIS-E-TRABALHISTAS'!$E$27</definedName>
    <definedName name="PERC_SUBSTITUTO_AUSENCIAS_LEGAIS">'[2]ENCARGOS-SOCIAIS-E-TRABALHISTAS'!$E$27</definedName>
    <definedName name="PERC_SUBSTITUTO_FERIAS" localSheetId="8">'[1]ENCARGOS-SOCIAIS-E-TRABALHISTAS'!$E$26</definedName>
    <definedName name="PERC_SUBSTITUTO_FERIAS" localSheetId="7">'ENCARGOS-SOCIAIS-E-TRABALHISTAS'!$E$26</definedName>
    <definedName name="PERC_SUBSTITUTO_FERIAS" localSheetId="4">'[1]ENCARGOS-SOCIAIS-E-TRABALHISTAS'!$E$26</definedName>
    <definedName name="PERC_SUBSTITUTO_FERIAS" localSheetId="3">'[4]ENCARGOS-SOCIAIS-E-TRABALHISTAS'!$E$26</definedName>
    <definedName name="PERC_SUBSTITUTO_FERIAS" localSheetId="5">'[1]ENCARGOS-SOCIAIS-E-TRABALHISTAS'!$E$26</definedName>
    <definedName name="PERC_SUBSTITUTO_FERIAS">'[2]ENCARGOS-SOCIAIS-E-TRABALHISTAS'!$E$26</definedName>
    <definedName name="PERC_SUBSTITUTO_LICENCA_PATERNIDADE" localSheetId="8">'[1]ENCARGOS-SOCIAIS-E-TRABALHISTAS'!$E$28</definedName>
    <definedName name="PERC_SUBSTITUTO_LICENCA_PATERNIDADE" localSheetId="7">'ENCARGOS-SOCIAIS-E-TRABALHISTAS'!$E$28</definedName>
    <definedName name="PERC_SUBSTITUTO_LICENCA_PATERNIDADE" localSheetId="4">'[1]ENCARGOS-SOCIAIS-E-TRABALHISTAS'!$E$28</definedName>
    <definedName name="PERC_SUBSTITUTO_LICENCA_PATERNIDADE" localSheetId="3">'[4]ENCARGOS-SOCIAIS-E-TRABALHISTAS'!$E$28</definedName>
    <definedName name="PERC_SUBSTITUTO_LICENCA_PATERNIDADE" localSheetId="5">'[1]ENCARGOS-SOCIAIS-E-TRABALHISTAS'!$E$28</definedName>
    <definedName name="PERC_SUBSTITUTO_LICENCA_PATERNIDADE">'[2]ENCARGOS-SOCIAIS-E-TRABALHISTAS'!$E$28</definedName>
    <definedName name="PERC_SUBSTITUTO_OUTRAS_AUSENCIAS" localSheetId="2">'[1]INSERÇÃO-DE-DADOS'!$F$51</definedName>
    <definedName name="PERC_SUBSTITUTO_OUTRAS_AUSENCIAS" localSheetId="8">'[1]INSERÇÃO-DE-DADOS'!$F$51</definedName>
    <definedName name="PERC_SUBSTITUTO_OUTRAS_AUSENCIAS" localSheetId="7">'[1]INSERÇÃO-DE-DADOS'!$F$51</definedName>
    <definedName name="PERC_SUBSTITUTO_OUTRAS_AUSENCIAS" localSheetId="0">'[1]INSERÇÃO-DE-DADOS'!$F$51</definedName>
    <definedName name="PERC_SUBSTITUTO_OUTRAS_AUSENCIAS" localSheetId="4">'[1]INSERÇÃO-DE-DADOS'!$F$51</definedName>
    <definedName name="PERC_SUBSTITUTO_OUTRAS_AUSENCIAS" localSheetId="3">'[1]INSERÇÃO-DE-DADOS'!$F$51</definedName>
    <definedName name="PERC_SUBSTITUTO_OUTRAS_AUSENCIAS" localSheetId="5">'[1]INSERÇÃO-DE-DADOS'!$F$51</definedName>
    <definedName name="PERC_SUBSTITUTO_OUTRAS_AUSENCIAS">'[2]INSERÇÃO-DE-DADOS'!$F$51</definedName>
    <definedName name="PERC_TRIBUTOS" localSheetId="4">'Oficial de Manutenção'!$E$90</definedName>
    <definedName name="PERC_TRIBUTOS" localSheetId="3">'Oficial de Manutenção-Estimado'!$E$90</definedName>
    <definedName name="Print_Area" localSheetId="0">'INSTRUÇOES PARA PREENCHIMENTO'!$A$1:$J$21</definedName>
    <definedName name="Print_Area" localSheetId="1">'MODELO PROPOSTA'!$A$2:$I$20</definedName>
    <definedName name="QTDE_POSTOS" localSheetId="4">'[1]INSERÇÃO-DE-DADOS'!$F$19</definedName>
    <definedName name="QTDE_POSTOS" localSheetId="3">'[1]INSERÇÃO-DE-DADOS'!$F$19</definedName>
    <definedName name="RAMO" localSheetId="2">'[1]INSERÇÃO-DE-DADOS'!$B$1</definedName>
    <definedName name="RAMO" localSheetId="8">'[1]INSERÇÃO-DE-DADOS'!$B$1</definedName>
    <definedName name="RAMO" localSheetId="7">'[1]INSERÇÃO-DE-DADOS'!$B$1</definedName>
    <definedName name="RAMO" localSheetId="0">'[1]INSERÇÃO-DE-DADOS'!$B$1</definedName>
    <definedName name="RAMO" localSheetId="4">'[1]INSERÇÃO-DE-DADOS'!$B$1</definedName>
    <definedName name="RAMO" localSheetId="3">'[1]INSERÇÃO-DE-DADOS'!$B$1</definedName>
    <definedName name="RAMO" localSheetId="5">'[1]INSERÇÃO-DE-DADOS'!$B$1</definedName>
    <definedName name="RAMO">'[2]INSERÇÃO-DE-DADOS'!$B$1</definedName>
    <definedName name="SAL_MINIMO" localSheetId="2">'[1]INSERÇÃO-DE-DADOS'!$F$25</definedName>
    <definedName name="SAL_MINIMO" localSheetId="8">'[1]INSERÇÃO-DE-DADOS'!$F$25</definedName>
    <definedName name="SAL_MINIMO" localSheetId="7">'[1]INSERÇÃO-DE-DADOS'!$F$25</definedName>
    <definedName name="SAL_MINIMO" localSheetId="0">'[1]INSERÇÃO-DE-DADOS'!$F$25</definedName>
    <definedName name="SAL_MINIMO" localSheetId="4">'[1]INSERÇÃO-DE-DADOS'!$F$25</definedName>
    <definedName name="SAL_MINIMO" localSheetId="3">'[1]INSERÇÃO-DE-DADOS'!$F$25</definedName>
    <definedName name="SAL_MINIMO" localSheetId="5">'[1]INSERÇÃO-DE-DADOS'!$F$25</definedName>
    <definedName name="SAL_MINIMO">'[2]INSERÇÃO-DE-DADOS'!$F$25</definedName>
    <definedName name="SALARIO_BASE" localSheetId="2">'[1]INSERÇÃO-DE-DADOS'!$F$30</definedName>
    <definedName name="SALARIO_BASE" localSheetId="8">'[1]INSERÇÃO-DE-DADOS'!$F$30</definedName>
    <definedName name="SALARIO_BASE" localSheetId="7">'[1]INSERÇÃO-DE-DADOS'!$F$30</definedName>
    <definedName name="SALARIO_BASE" localSheetId="0">'[1]INSERÇÃO-DE-DADOS'!$F$30</definedName>
    <definedName name="SALARIO_BASE" localSheetId="4">'[1]INSERÇÃO-DE-DADOS'!$F$30</definedName>
    <definedName name="SALARIO_BASE" localSheetId="3">'[1]INSERÇÃO-DE-DADOS'!$F$30</definedName>
    <definedName name="SALARIO_BASE" localSheetId="5">'[1]INSERÇÃO-DE-DADOS'!$F$30</definedName>
    <definedName name="SALARIO_BASE">'[2]INSERÇÃO-DE-DADOS'!$F$30</definedName>
    <definedName name="SUBMOD_2_1_DEC_TERC_ADIC_FERIAS" localSheetId="4">'Oficial de Manutenção'!$F$36</definedName>
    <definedName name="SUBMOD_2_1_DEC_TERC_ADIC_FERIAS" localSheetId="3">'Oficial de Manutenção-Estimado'!$F$36</definedName>
    <definedName name="SUBMOD_2_2_GPS_FGTS" localSheetId="4">'Oficial de Manutenção'!$F$47</definedName>
    <definedName name="SUBMOD_2_2_GPS_FGTS" localSheetId="3">'Oficial de Manutenção-Estimado'!$F$47</definedName>
    <definedName name="SUBMOD_2_3_BENEFICIOS" localSheetId="4">'Oficial de Manutenção'!$F$55</definedName>
    <definedName name="SUBMOD_2_3_BENEFICIOS" localSheetId="3">'Oficial de Manutenção-Estimado'!$F$55</definedName>
    <definedName name="SUBMOD_4_1_SUBSTITUTO" localSheetId="4">'Oficial de Manutenção'!$F$72</definedName>
    <definedName name="SUBMOD_4_1_SUBSTITUTO" localSheetId="3">'Oficial de Manutenção-Estimado'!$F$72</definedName>
    <definedName name="SUBMOD_4_2_INTRAJORNADA" localSheetId="4">'Oficial de Manutenção'!$F$76</definedName>
    <definedName name="SUBMOD_4_2_INTRAJORNADA" localSheetId="3">'Oficial de Manutenção-Estimado'!$F$76</definedName>
    <definedName name="TEMPO_INTERVALO_REFEICAO" localSheetId="2">'[1]INSERÇÃO-DE-DADOS'!$F$56</definedName>
    <definedName name="TEMPO_INTERVALO_REFEICAO" localSheetId="8">'[1]INSERÇÃO-DE-DADOS'!$F$56</definedName>
    <definedName name="TEMPO_INTERVALO_REFEICAO" localSheetId="7">'[1]INSERÇÃO-DE-DADOS'!$F$56</definedName>
    <definedName name="TEMPO_INTERVALO_REFEICAO" localSheetId="0">'[1]INSERÇÃO-DE-DADOS'!$F$56</definedName>
    <definedName name="TEMPO_INTERVALO_REFEICAO" localSheetId="4">'[1]INSERÇÃO-DE-DADOS'!$F$56</definedName>
    <definedName name="TEMPO_INTERVALO_REFEICAO" localSheetId="3">'[1]INSERÇÃO-DE-DADOS'!$F$56</definedName>
    <definedName name="TEMPO_INTERVALO_REFEICAO" localSheetId="5">'[1]INSERÇÃO-DE-DADOS'!$F$56</definedName>
    <definedName name="TEMPO_INTERVALO_REFEICAO">'[2]INSERÇÃO-DE-DADOS'!$F$56</definedName>
    <definedName name="TRANSPORTE_POR_DIA" localSheetId="2">'[1]INSERÇÃO-DE-DADOS'!$F$41</definedName>
    <definedName name="TRANSPORTE_POR_DIA" localSheetId="8">'[1]INSERÇÃO-DE-DADOS'!$F$41</definedName>
    <definedName name="TRANSPORTE_POR_DIA" localSheetId="7">'[1]INSERÇÃO-DE-DADOS'!$F$41</definedName>
    <definedName name="TRANSPORTE_POR_DIA" localSheetId="0">'[1]INSERÇÃO-DE-DADOS'!$F$41</definedName>
    <definedName name="TRANSPORTE_POR_DIA" localSheetId="4">'[1]INSERÇÃO-DE-DADOS'!$F$41</definedName>
    <definedName name="TRANSPORTE_POR_DIA" localSheetId="3">'[1]INSERÇÃO-DE-DADOS'!$F$41</definedName>
    <definedName name="TRANSPORTE_POR_DIA" localSheetId="5">'[1]INSERÇÃO-DE-DADOS'!$F$41</definedName>
    <definedName name="TRANSPORTE_POR_DIA">'[2]INSERÇÃO-DE-DADOS'!$F$41</definedName>
    <definedName name="UG" localSheetId="2">'[1]INSERÇÃO-DE-DADOS'!$B$2</definedName>
    <definedName name="UG" localSheetId="8">'[1]INSERÇÃO-DE-DADOS'!$B$2</definedName>
    <definedName name="UG" localSheetId="7">'[1]INSERÇÃO-DE-DADOS'!$B$2</definedName>
    <definedName name="UG" localSheetId="0">'[1]INSERÇÃO-DE-DADOS'!$B$2</definedName>
    <definedName name="UG" localSheetId="4">'[1]INSERÇÃO-DE-DADOS'!$B$2</definedName>
    <definedName name="UG" localSheetId="3">'[1]INSERÇÃO-DE-DADOS'!$B$2</definedName>
    <definedName name="UG" localSheetId="5">'[1]INSERÇÃO-DE-DADOS'!$B$2</definedName>
    <definedName name="UG">'[2]INSERÇÃO-DE-DADOS'!$B$2</definedName>
    <definedName name="VALOR_TOTAL_EMPREGADO" localSheetId="4">'Oficial de Manutenção'!$F$104</definedName>
    <definedName name="VALOR_TOTAL_EMPREGADO" localSheetId="3">'Oficial de Manutenção-Estimado'!$F$103</definedName>
    <definedName name="VALOR_TOTAL_POSTO" localSheetId="4">'Oficial de Manutenção'!$F$105</definedName>
    <definedName name="VALOR_TOTAL_POSTO" localSheetId="3">'Oficial de Manutenção-Estimado'!$F$104</definedName>
  </definedNames>
  <calcPr calcId="191029" iterateDelta="1E-4"/>
</workbook>
</file>

<file path=xl/calcChain.xml><?xml version="1.0" encoding="utf-8"?>
<calcChain xmlns="http://schemas.openxmlformats.org/spreadsheetml/2006/main">
  <c r="E89" i="35" l="1"/>
  <c r="E88" i="35"/>
  <c r="D51" i="2"/>
  <c r="F125" i="28"/>
  <c r="C26" i="36"/>
  <c r="C35" i="36"/>
  <c r="D35" i="36"/>
  <c r="C50" i="36"/>
  <c r="C59" i="36"/>
  <c r="D59" i="36"/>
  <c r="F23" i="34"/>
  <c r="G24" i="2"/>
  <c r="F106" i="35"/>
  <c r="F105" i="35"/>
  <c r="E90" i="35"/>
  <c r="E71" i="35"/>
  <c r="C71" i="35"/>
  <c r="E70" i="35"/>
  <c r="E69" i="35"/>
  <c r="E68" i="35"/>
  <c r="E67" i="35"/>
  <c r="E66" i="35"/>
  <c r="E60" i="35"/>
  <c r="E59" i="35"/>
  <c r="E58" i="35"/>
  <c r="C54" i="35"/>
  <c r="C53" i="35"/>
  <c r="C52" i="35"/>
  <c r="E46" i="35"/>
  <c r="E45" i="35"/>
  <c r="E44" i="35"/>
  <c r="E43" i="35"/>
  <c r="E42" i="35"/>
  <c r="E41" i="35"/>
  <c r="E40" i="35"/>
  <c r="E39" i="35"/>
  <c r="E35" i="35"/>
  <c r="E34" i="35"/>
  <c r="C29" i="35"/>
  <c r="C28" i="35"/>
  <c r="C27" i="35"/>
  <c r="D16" i="35"/>
  <c r="F11" i="35"/>
  <c r="F8" i="35"/>
  <c r="D6" i="35"/>
  <c r="F2" i="35"/>
  <c r="E90" i="34"/>
  <c r="E89" i="34"/>
  <c r="E88" i="34"/>
  <c r="F80" i="34"/>
  <c r="F84" i="34" s="1"/>
  <c r="F101" i="34" s="1"/>
  <c r="F75" i="34"/>
  <c r="F76" i="34" s="1"/>
  <c r="E71" i="34"/>
  <c r="C71" i="34"/>
  <c r="E69" i="34"/>
  <c r="E68" i="34"/>
  <c r="E67" i="34"/>
  <c r="E66" i="34"/>
  <c r="E59" i="34"/>
  <c r="E58" i="34"/>
  <c r="F54" i="34"/>
  <c r="C54" i="34"/>
  <c r="F53" i="34"/>
  <c r="C53" i="34"/>
  <c r="C52" i="34"/>
  <c r="F50" i="34"/>
  <c r="E46" i="34"/>
  <c r="E45" i="34"/>
  <c r="E44" i="34"/>
  <c r="E43" i="34"/>
  <c r="E42" i="34"/>
  <c r="E41" i="34"/>
  <c r="E40" i="34"/>
  <c r="E39" i="34"/>
  <c r="E35" i="34"/>
  <c r="E34" i="34"/>
  <c r="F29" i="34"/>
  <c r="C29" i="34"/>
  <c r="F28" i="34"/>
  <c r="C28" i="34"/>
  <c r="F27" i="34"/>
  <c r="C27" i="34"/>
  <c r="F26" i="34"/>
  <c r="D16" i="34"/>
  <c r="F11" i="34"/>
  <c r="F8" i="34"/>
  <c r="D6" i="34"/>
  <c r="F2" i="34"/>
  <c r="F39" i="33"/>
  <c r="F38" i="33"/>
  <c r="F31" i="33"/>
  <c r="E31" i="32"/>
  <c r="C31" i="32"/>
  <c r="E30" i="32"/>
  <c r="E29" i="32"/>
  <c r="E28" i="32"/>
  <c r="E27" i="32"/>
  <c r="E26" i="32"/>
  <c r="E22" i="32"/>
  <c r="E21" i="32"/>
  <c r="E20" i="32"/>
  <c r="E17" i="32"/>
  <c r="E6" i="32"/>
  <c r="E5" i="32"/>
  <c r="C8" i="31"/>
  <c r="C7" i="31"/>
  <c r="D6" i="31"/>
  <c r="C5" i="31"/>
  <c r="D4" i="31"/>
  <c r="C3" i="31"/>
  <c r="F51" i="2"/>
  <c r="H41" i="2"/>
  <c r="H51" i="2" l="1"/>
  <c r="H42" i="2"/>
  <c r="F24" i="34"/>
  <c r="F55" i="34"/>
  <c r="F25" i="34"/>
  <c r="H19" i="2"/>
  <c r="F126" i="28"/>
  <c r="D46" i="2" s="1"/>
  <c r="F4" i="28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F57" i="28"/>
  <c r="F58" i="28"/>
  <c r="F59" i="28"/>
  <c r="F60" i="28"/>
  <c r="F61" i="28"/>
  <c r="F62" i="28"/>
  <c r="F63" i="28"/>
  <c r="F64" i="28"/>
  <c r="F65" i="28"/>
  <c r="F66" i="28"/>
  <c r="F67" i="28"/>
  <c r="F68" i="28"/>
  <c r="F69" i="28"/>
  <c r="F70" i="28"/>
  <c r="F71" i="28"/>
  <c r="F72" i="28"/>
  <c r="F73" i="28"/>
  <c r="F74" i="28"/>
  <c r="F75" i="28"/>
  <c r="F76" i="28"/>
  <c r="F77" i="28"/>
  <c r="F78" i="28"/>
  <c r="F79" i="28"/>
  <c r="F80" i="28"/>
  <c r="F81" i="28"/>
  <c r="F82" i="28"/>
  <c r="F83" i="28"/>
  <c r="F84" i="28"/>
  <c r="F85" i="28"/>
  <c r="F86" i="28"/>
  <c r="F87" i="28"/>
  <c r="F88" i="28"/>
  <c r="F89" i="28"/>
  <c r="F90" i="28"/>
  <c r="F91" i="28"/>
  <c r="F92" i="28"/>
  <c r="F96" i="28"/>
  <c r="F97" i="28"/>
  <c r="F98" i="28"/>
  <c r="F99" i="28"/>
  <c r="F100" i="28"/>
  <c r="F101" i="28"/>
  <c r="F102" i="28"/>
  <c r="F103" i="28"/>
  <c r="F104" i="28"/>
  <c r="F105" i="28"/>
  <c r="F106" i="28"/>
  <c r="F107" i="28"/>
  <c r="F108" i="28"/>
  <c r="F109" i="28"/>
  <c r="F110" i="28"/>
  <c r="F111" i="28"/>
  <c r="F112" i="28"/>
  <c r="F113" i="28"/>
  <c r="F114" i="28"/>
  <c r="F115" i="28"/>
  <c r="F116" i="28"/>
  <c r="F117" i="28"/>
  <c r="F118" i="28"/>
  <c r="F119" i="28"/>
  <c r="F120" i="28"/>
  <c r="F121" i="28"/>
  <c r="F122" i="28"/>
  <c r="F123" i="28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F28" i="2"/>
  <c r="H28" i="2" s="1"/>
  <c r="H24" i="2"/>
  <c r="F20" i="2"/>
  <c r="H20" i="2" s="1"/>
  <c r="F19" i="2"/>
  <c r="F30" i="34" l="1"/>
  <c r="F35" i="34" s="1"/>
  <c r="F124" i="28"/>
  <c r="H46" i="2"/>
  <c r="H25" i="2"/>
  <c r="H37" i="2"/>
  <c r="F97" i="34" l="1"/>
  <c r="F34" i="34"/>
  <c r="F36" i="34" s="1"/>
  <c r="F46" i="34" s="1"/>
  <c r="H21" i="2"/>
  <c r="H53" i="2" s="1"/>
  <c r="F45" i="34" l="1"/>
  <c r="F58" i="34"/>
  <c r="F44" i="34"/>
  <c r="F41" i="34"/>
  <c r="F42" i="34"/>
  <c r="F40" i="34"/>
  <c r="F39" i="34"/>
  <c r="F43" i="34"/>
  <c r="F47" i="34" l="1"/>
  <c r="F59" i="34" s="1"/>
  <c r="F98" i="34" l="1"/>
  <c r="E70" i="34"/>
  <c r="E60" i="34"/>
  <c r="F60" i="34"/>
  <c r="F61" i="34" s="1"/>
  <c r="F99" i="34" l="1"/>
  <c r="F69" i="34"/>
  <c r="F67" i="34"/>
  <c r="F71" i="34"/>
  <c r="F66" i="34"/>
  <c r="F68" i="34"/>
  <c r="F70" i="34"/>
  <c r="F72" i="34" l="1"/>
  <c r="F100" i="34" s="1"/>
  <c r="F88" i="34" l="1"/>
  <c r="F89" i="34" s="1"/>
  <c r="F93" i="34" s="1"/>
  <c r="F91" i="34" l="1"/>
  <c r="F92" i="34"/>
  <c r="F90" i="34" l="1"/>
  <c r="F94" i="34" s="1"/>
  <c r="F102" i="34" s="1"/>
  <c r="F103" i="34" s="1"/>
  <c r="F105" i="34" s="1"/>
  <c r="F104" i="3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50F47919-CE50-4177-9315-A16196617938}">
      <text>
        <r>
          <rPr>
            <sz val="9"/>
            <color indexed="81"/>
            <rFont val="Segoe UI"/>
            <family val="2"/>
          </rPr>
          <t>Valores retirados da planilha "Cálculo do BDI"</t>
        </r>
      </text>
    </comment>
    <comment ref="E89" authorId="0" shapeId="0" xr:uid="{4ED2C357-D570-4B0D-8155-3A7DE182ED9A}">
      <text>
        <r>
          <rPr>
            <sz val="9"/>
            <color indexed="81"/>
            <rFont val="Segoe UI"/>
            <family val="2"/>
          </rPr>
          <t>Lucro retirado do valor preenchido na planilha "Cálculo do BDI"</t>
        </r>
      </text>
    </comment>
    <comment ref="E94" authorId="0" shapeId="0" xr:uid="{1050E8B3-B635-49CF-B8BC-A830724A6A81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<sst xmlns="http://schemas.openxmlformats.org/spreadsheetml/2006/main" count="1006" uniqueCount="494">
  <si>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</si>
  <si>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</si>
  <si>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</si>
  <si>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</si>
  <si>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</si>
  <si>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</si>
  <si>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</si>
  <si>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</si>
  <si>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</si>
  <si>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</si>
  <si>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</si>
  <si>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</si>
  <si>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</si>
  <si>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</si>
  <si>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</si>
  <si>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</si>
  <si>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</si>
  <si>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</si>
  <si>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</si>
  <si>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</si>
  <si>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</si>
  <si>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</si>
  <si>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</si>
  <si>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</si>
  <si>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</si>
  <si>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t>PREGÃO ELETRÔNICO Nº 01/2023 – UASG 200075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</si>
  <si>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</si>
  <si>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PREGÃO ELETRÔNICO Nº 1/2023 – UASG 200075</t>
  </si>
  <si>
    <t>1.23.000.002685/2022-92</t>
  </si>
  <si>
    <t>Pregão Eletrônico nº 1/2023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</si>
  <si>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</si>
  <si>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PROFISSIONAIS SUPERVISORES</t>
  </si>
  <si>
    <t>Engenheiro Civil ou Arquiteto (CBO 2142-05 / CBO 2141-05)</t>
  </si>
  <si>
    <t>Engenheiro Eletricista (CBO 2143-05)</t>
  </si>
  <si>
    <t>QUANT. HORAS/MÊS</t>
  </si>
  <si>
    <t>QUANT. HORAS/ANO</t>
  </si>
  <si>
    <t>VALOR HORA (R$)</t>
  </si>
  <si>
    <t>VALOR TOTAL ANUAL (R$)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</si>
  <si>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1/2023, promovido pela Procuradoria da República no Pará, como segue:</t>
  </si>
  <si>
    <t>A: VALOR UNITÁRIO ANUAL</t>
  </si>
  <si>
    <t>PROFISSIONAIS RESIDENTES</t>
  </si>
  <si>
    <t>Oficial de manutenção predial - Sistemas hidrossanitário e civil (CBO 5143-25)</t>
  </si>
  <si>
    <t>Auxiliar de manutenção predial (CBO 5143-10)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</si>
  <si>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</si>
  <si>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</si>
  <si>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</si>
  <si>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</si>
  <si>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</si>
  <si>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</si>
  <si>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</si>
  <si>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</si>
  <si>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</si>
  <si>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</si>
  <si>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</si>
  <si>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</si>
  <si>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</si>
  <si>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EQUIPAMENTO</t>
  </si>
  <si>
    <t>Rede Ininterrupta - Nobreak</t>
  </si>
  <si>
    <t>C: VALOR UNITÁRIO ANUAL</t>
  </si>
  <si>
    <t>MANUTENÇÃO CORRETIVA</t>
  </si>
  <si>
    <t>D: VALOR UNITÁRIO ANUAL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</si>
  <si>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</si>
  <si>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</si>
  <si>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</si>
  <si>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</si>
  <si>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</si>
  <si>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</si>
  <si>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</si>
  <si>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</si>
  <si>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</si>
  <si>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</si>
  <si>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</si>
  <si>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</si>
  <si>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</si>
  <si>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</si>
  <si>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</si>
  <si>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</si>
  <si>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</si>
  <si>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</si>
  <si>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</si>
  <si>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</si>
  <si>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</si>
  <si>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</si>
  <si>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</si>
  <si>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</si>
  <si>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</si>
  <si>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</si>
  <si>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</si>
  <si>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</si>
  <si>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</si>
  <si>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</si>
  <si>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</si>
  <si>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</si>
  <si>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</si>
  <si>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</si>
  <si>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</si>
  <si>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SINAPI -39416</t>
  </si>
  <si>
    <t>SINAPI -39412</t>
  </si>
  <si>
    <t>M²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</si>
  <si>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</si>
  <si>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</si>
  <si>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</si>
  <si>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</si>
  <si>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</si>
  <si>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</si>
  <si>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</si>
  <si>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</si>
  <si>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</si>
  <si>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</si>
  <si>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</si>
  <si>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</si>
  <si>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</si>
  <si>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</si>
  <si>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</si>
  <si>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</si>
  <si>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</si>
  <si>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</si>
  <si>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</si>
  <si>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</si>
  <si>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</si>
  <si>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</si>
  <si>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</si>
  <si>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</si>
  <si>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</si>
  <si>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</si>
  <si>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</si>
  <si>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SINAPI -38152</t>
  </si>
  <si>
    <t>SINAPI -3093</t>
  </si>
  <si>
    <t>SINAPI -2432</t>
  </si>
  <si>
    <t>SINAPI -39572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</si>
  <si>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</si>
  <si>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</si>
  <si>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</si>
  <si>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</si>
  <si>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</si>
  <si>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</si>
  <si>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</si>
  <si>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</si>
  <si>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</si>
  <si>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</si>
  <si>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</si>
  <si>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</si>
  <si>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</si>
  <si>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</si>
  <si>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</si>
  <si>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</si>
  <si>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</si>
  <si>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</si>
  <si>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</si>
  <si>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</si>
  <si>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SINAPI -13417</t>
  </si>
  <si>
    <t>SINAPI -13983</t>
  </si>
  <si>
    <t>SINAPI -36796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</si>
  <si>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</si>
  <si>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</si>
  <si>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</si>
  <si>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</si>
  <si>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</si>
  <si>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</si>
  <si>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</si>
  <si>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</si>
  <si>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</si>
  <si>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</si>
  <si>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</si>
  <si>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</si>
  <si>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</si>
  <si>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</si>
  <si>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</si>
  <si>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</si>
  <si>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</si>
  <si>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</si>
  <si>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</si>
  <si>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</si>
  <si>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</si>
  <si>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</si>
  <si>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</si>
  <si>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</si>
  <si>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</si>
  <si>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</si>
  <si>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</si>
  <si>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</si>
  <si>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</si>
  <si>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</si>
  <si>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</si>
  <si>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</si>
  <si>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</si>
  <si>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</si>
  <si>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</si>
  <si>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</si>
  <si>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</si>
  <si>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</si>
  <si>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</si>
  <si>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</si>
  <si>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</si>
  <si>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</si>
  <si>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</si>
  <si>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</si>
  <si>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</si>
  <si>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</si>
  <si>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</si>
  <si>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</si>
  <si>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</si>
  <si>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</si>
  <si>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</si>
  <si>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</si>
  <si>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</si>
  <si>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</si>
  <si>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</si>
  <si>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</si>
  <si>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</si>
  <si>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</si>
  <si>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</si>
  <si>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</si>
  <si>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</si>
  <si>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</si>
  <si>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</si>
  <si>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</si>
  <si>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</si>
  <si>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</si>
  <si>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</si>
  <si>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</si>
  <si>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</si>
  <si>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</si>
  <si>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</si>
  <si>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</si>
  <si>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</si>
  <si>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</si>
  <si>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</si>
  <si>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</si>
  <si>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</si>
  <si>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</si>
  <si>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</si>
  <si>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</si>
  <si>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</si>
  <si>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</si>
  <si>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</si>
  <si>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</si>
  <si>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</si>
  <si>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</si>
  <si>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</si>
  <si>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</si>
  <si>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</si>
  <si>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</si>
  <si>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</si>
  <si>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</si>
  <si>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</si>
  <si>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</si>
  <si>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SINAPI -38092</t>
  </si>
  <si>
    <t>SINAPI -38093</t>
  </si>
  <si>
    <t>SINAPI -38091</t>
  </si>
  <si>
    <t>SINAPI -38095</t>
  </si>
  <si>
    <t>SINAPI – 38774</t>
  </si>
  <si>
    <t>LÂMPADA DE EMERGÊNCIA 30 LEDS, POTÊNCIA 2 W, BATERIA DE LÍTIO, AUTONOMIA DEV 6 HORAS</t>
  </si>
  <si>
    <t>UND</t>
  </si>
  <si>
    <t>CAPA PARA CONECTOR RJ 45</t>
  </si>
  <si>
    <t>CONECTOR RJ 45</t>
  </si>
  <si>
    <t>CABO DE REDE CAT 6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</si>
  <si>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</si>
  <si>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</si>
  <si>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</si>
  <si>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</si>
  <si>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</si>
  <si>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</si>
  <si>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</si>
  <si>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VALOR UNITÁRIO</t>
  </si>
  <si>
    <t>VALOR TOTAL</t>
  </si>
  <si>
    <t>SOQUETE DE PORCELANA TIPO E-27. REF.: TRAMONTINA 5799090</t>
  </si>
  <si>
    <t>SINAPI -12294</t>
  </si>
  <si>
    <t>PLACA (ESPELHO) CEGA, FABRICADO EM TERMOPLÁSTICO ISOLANTE, RESISTENTE A ALTO IMPACTO E PROTEGIDO CONTRA AMARELAMENTO, TAMANHO 4x2 POL, COM PARAFUSOS PARA FIXAÇÃO, COR BRANCA, CONFORME PADRÃO EXISTENTE.</t>
  </si>
  <si>
    <t>PLACA (ESPELHO) CEGO, FABRICADO EM TERMOPLÁSTICO ISOLANTE, RESISTENTE A ALTO IMPACTO E PROTEGIDO CONTRA AMARELAMENTO, TAMANHO 4x4 POL, COM PARAFUSOS PARA FIXAÇÃO, COR BRANCA, CONFORME PADRÃO EXISTENTE.</t>
  </si>
  <si>
    <t>PLACA (ESPELHO) COM 1 (UM) POSTO HORIZONTAL, FABRICADO EM TERMOPLÁSTICO ISOLANTE, RESISTENTE A ALTO IMPACTO E PROTEGIDO CONTRA AMARELAMENTO, TAMANHO 4x2 POL, COM PARAFUSOS PARA FIXAÇÃO, COR BRANCA, CONFORME PADRÃO EXISTENTE.</t>
  </si>
  <si>
    <t>PLACA (ESPELHO) COM 2 (DOIS) POSTOS HORIZONTAIS, FABRICADO EM TERMOPLÁSTICO ISOLANTE, RESISTENTE A ALTO IMPACTO E PROTEGIDO CONTRA AMARELAMENTO, TAMANHO 4x2 POL, COM PARAFUSOS PARA FIXAÇÃO, COR BRANCA, CONFORME PADRÃO EXISTENTE.</t>
  </si>
  <si>
    <t>MÓDULO INTERRUPTOR, COR BRANCA, 10A, 220V, TERMOPLÁSTICO ISOLANTE, CONFORME PADRÃO EXISTENTE.</t>
  </si>
  <si>
    <t>SINAPI -38112</t>
  </si>
  <si>
    <t>MÓDULO TOMADA, COR BRANCA, 10A, 220V, TERMOPLÁSTICO ISOLANTE, NOVO PADRÃO BRASILEIRO, CONFORME PADRÃO EXISTENTE.</t>
  </si>
  <si>
    <t>SINAPI -38101</t>
  </si>
  <si>
    <t>MÓDULO TOMADA, COR VERMELHA, 10A, 220V, TERMOPLÁSTICO ISOLANTE, NOVO PADRÃO BRASILEIRO, CONFORME PADRÃO EXISTENTE.</t>
  </si>
  <si>
    <t>SINAPI -1014</t>
  </si>
  <si>
    <t>PLUGUE MACHO 2P+T (NBR 14.136:2002), 10A, 250V, COR BRANCA, PRODUZIDO EM TERMOPLÁSTICO ANTICHAMA, COM COMPONENTES CONDUTORES E PINO MACIÇO EM LIGA DE COBRE. REF.: TRAMONTINA 57402003</t>
  </si>
  <si>
    <t>PLUGUE FÊMEA 2P+T (NBR 14.136:2002), 10A, 250V, COR BRANCA, PRODUZIDO EM TERMOPLÁSTICO ANTICHAMA, COM COMPONENTES CONDUTORES E PINO MACIÇO EM LIGA DE COBRE. REF.: TRAMONTINA 57402053</t>
  </si>
  <si>
    <t>FILTRO DE LINHA COM 4 TOMADAS 2P+T 10A/250V (NBR 14136:2002). CABO DE FORÇA 3x0,75MM² COM COMPRIMENTO MÍNIMO DE 1,3M E PLUGUE 2P+T 10A/250V (NBR 14136:2002). PROTEÇÃO COM CHAVE DISJUNTORA (OPERAÇÃO LIVRE DE FUSÍVEL). TENSÃO DE OPERAÇÃO 127/220V (BIVOLT). POTÊNCIA MÁXIMA DE 1.270W (127V) e 2.200W (220V). CHAVE DE LIGA/DESLIGA. LED INDICADOR DE FUNCIONAMENTO. REF.: DANEVA DN1642</t>
  </si>
  <si>
    <t>CABO DE COBRE FLEXÍVEL (CONDUTOR ISOLADO), SEÇÃO DE 2,5MM², 450V/750V, COR VERDE,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</si>
  <si>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AZUL,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</si>
  <si>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VERMELHA,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</si>
  <si>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PRETA,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</si>
  <si>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BRANCA, ISOLAÇÃO DE PVC, CLASSE DE ENCORDOAMENTO 5 (EXTRA FLEXÍVEL), RESISTÊNCIA MÁXIMA DE 8,0 OHMS/KM A 20° CELSIUS, ATENDIMENTO ÀS NORMAS NBR NM280 E NBR NM 247-3. REF.: PRYSMIAN SUPERASTIC FLEX.</t>
  </si>
  <si>
    <r>
      <rPr>
        <sz val="10"/>
        <color rgb="FF000000"/>
        <rFont val="Arial"/>
        <family val="2"/>
      </rPr>
      <t>CABO DE COBRE FLEXÍVEL TIPO "PP" COM 3 CONDUTORES DE SEÇÃO DE 2,5MM² (3x2,5MM²), TENSÃO NOMINAL DE 300V/500V, COBERTURA E ISOLAÇÃO DE PVC, CLASSE DE ENCORDOAMENTO 5 (EXTRA FLEXÍVEL), RESISTÊNCIA MÁXIMA DE 8,0 OHMS/KM A 20° CELSIUS, ATENDIMENTO ÀS NORMAS NBR NM280 E</t>
    </r>
    <r>
      <rPr>
        <sz val="10"/>
        <color theme="1"/>
        <rFont val="Arial"/>
        <family val="2"/>
      </rPr>
      <t xml:space="preserve"> NBR NM 247-5</t>
    </r>
    <r>
      <rPr>
        <sz val="10"/>
        <color rgb="FF000000"/>
        <rFont val="Arial"/>
        <family val="2"/>
      </rPr>
      <t>. REF.: PRYSMIAN SUPERASTIC FLEX.</t>
    </r>
  </si>
  <si>
    <r>
      <t xml:space="preserve">GRELHA ESCAMOTEÁVEL EM AÇO INOX COM CAIXILHO PARA RALO.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</si>
  <si>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t>TORNEIRA DE MESA PARA LAVATÓRIO.</t>
    </r>
    <r>
      <rPr>
        <sz val="11"/>
        <color rgb="FFFF0000"/>
        <rFont val="Arial"/>
        <family val="2"/>
      </rPr>
      <t xml:space="preserve"> CONFORME PADRÃO EXISTENTE PRM COMPLEMENTAR</t>
    </r>
    <r>
      <rPr>
        <sz val="11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</si>
  <si>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PIA DE COZINHA.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</si>
  <si>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TANQUE. </t>
    </r>
    <r>
      <rPr>
        <sz val="10"/>
        <color rgb="FFFF0000"/>
        <rFont val="Arial"/>
        <family val="2"/>
      </rPr>
      <t>CONFORME PADRÃO EXISTENTE PRPA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</si>
  <si>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DUCHA HIGIÊNICA.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</si>
  <si>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CANTONEIRA GALVANIZADA PRA FORRO DE GESSO.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</si>
  <si>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CREMALHEIRA DENTADA PARA PORTÃO ELETRÔNICO.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</si>
  <si>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PARA PORTA DE MADEIRA.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</si>
  <si>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INFERIOR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</si>
  <si>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SUPERIOR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</si>
  <si>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INTERNA.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</si>
  <si>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EXTERNA.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</si>
  <si>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BANHEIRO.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</si>
  <si>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STANDARDS (ST) e= 10 MM EM GESSO ACARTONADO.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</si>
  <si>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FORRO e= 12,5 MM EM GESSO ACARTONADO. </t>
    </r>
    <r>
      <rPr>
        <sz val="11"/>
        <color rgb="FFFF0000"/>
        <rFont val="Arial"/>
        <family val="2"/>
      </rPr>
      <t>CONFORME PADRÃO EXISTENTE PRM.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</si>
  <si>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RESISTENTE A UMIDADE EM GESSO ACARTONADO, COR VERDE, e= 12,5 MM.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</si>
  <si>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PORTA DE MADEIRA.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</si>
  <si>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REPARO DESCARGA ACOPLADA</t>
  </si>
  <si>
    <t>SINAPI – 38194</t>
  </si>
  <si>
    <t>LAMPADA LED 10 W BIVOLT TRADICIONAL</t>
  </si>
  <si>
    <t>LUMINÁRIA LED PLAFON RETANGULAR 40X40</t>
  </si>
  <si>
    <t>LUMINÁRIA LED PLAFON RETANGULAR 30X30</t>
  </si>
  <si>
    <r>
      <rPr>
        <sz val="10"/>
        <color rgb="FF000000"/>
        <rFont val="Arial"/>
        <family val="2"/>
      </rPr>
      <t xml:space="preserve">GUIA GALVANIZADA FORMATO “U’ PARA PAREDE – DRY WALL.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</si>
  <si>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MOLA HIDRÁULICA, DE PISO, PARA PORTA DE VIDRO. </t>
    </r>
    <r>
      <rPr>
        <sz val="10"/>
        <color rgb="FFFF0000"/>
        <rFont val="Arial"/>
        <family val="2"/>
      </rPr>
      <t>CONFORME PADRÃO EXISTENTE PRM</t>
    </r>
    <r>
      <rPr>
        <sz val="10"/>
        <color rgb="FF000000"/>
        <rFont val="Arial"/>
        <family val="2"/>
      </rPr>
      <t>.</t>
    </r>
  </si>
  <si>
    <t>ANEXO I.3 - Marabá</t>
  </si>
  <si>
    <t>ANEXO II – MODELO DE PROPOSTA E PLANILHA DE CUSTOS E FORMAÇÃO DO VALOR ESTIMADO</t>
  </si>
  <si>
    <t>ITEM 3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</si>
  <si>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</si>
  <si>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</si>
  <si>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</si>
  <si>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</si>
  <si>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</si>
  <si>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Uniforme</t>
  </si>
  <si>
    <t>Profissionais residentes</t>
  </si>
  <si>
    <t>BIMESTRAL</t>
  </si>
  <si>
    <t>SEMESTRAL</t>
  </si>
  <si>
    <t>ANUAL</t>
  </si>
  <si>
    <t>05 (cinco) camisas de malha piquê tipo polo, de manga curta, 100% algodão, na cor branca, com a logomarca da Contratada.</t>
  </si>
  <si>
    <t>01 (um) jaleco de brim, manga longa, 100% algodão, com 03 bolsos, sendo 01 superior (com logomarca da Contratada) e 02 laterais/frontais, na cor branca ou cor usual da Empresa.</t>
  </si>
  <si>
    <t>04 (quatro) calças tipo semi-bag, em brim 100% algodão, com presilhas para cinto, com 02 bolsos frontais e 02 bolsos traseiros, na cor azul royal ou na cor usual da empresa.</t>
  </si>
  <si>
    <t>01 (uma) bota de segurança confeccionada em vaqueta curtida ao cromo na cor preta, sem biqueira de aço, cano acolchoado e solado em PU.</t>
  </si>
  <si>
    <t>02 (dois) cintos de couro, na cor preta.</t>
  </si>
  <si>
    <t>05 (cinco) pares de meias de cano médio, 100% em algodão, na cor preta.</t>
  </si>
  <si>
    <t>Total Mensal</t>
  </si>
  <si>
    <t>ENCARGOS SOCIAIS E TRABALHISTAS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</si>
  <si>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</si>
  <si>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</si>
  <si>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</si>
  <si>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</si>
  <si>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</si>
  <si>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Memória de Cálculo</t>
  </si>
  <si>
    <t>A</t>
  </si>
  <si>
    <t>13º Salário</t>
  </si>
  <si>
    <t>(1/12) x 100</t>
  </si>
  <si>
    <t>B</t>
  </si>
  <si>
    <t>Adicional de Férias</t>
  </si>
  <si>
    <t>[(1/3)/12] x 100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</si>
  <si>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</si>
  <si>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</si>
  <si>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</si>
  <si>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</si>
  <si>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</si>
  <si>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C</t>
  </si>
  <si>
    <t>Riscos Ambientas do Trabalho</t>
  </si>
  <si>
    <t>D</t>
  </si>
  <si>
    <t>SESC</t>
  </si>
  <si>
    <t>E</t>
  </si>
  <si>
    <t>SENAC</t>
  </si>
  <si>
    <t>F</t>
  </si>
  <si>
    <t>SEBRAE</t>
  </si>
  <si>
    <t>G</t>
  </si>
  <si>
    <t>INCRA</t>
  </si>
  <si>
    <t>H</t>
  </si>
  <si>
    <t>FGTS</t>
  </si>
  <si>
    <t>TOTAL</t>
  </si>
  <si>
    <t>MÓDULO 3: PROVISÃO PARA RESCISÃO</t>
  </si>
  <si>
    <t>Provisão para Rescisão</t>
  </si>
  <si>
    <t>Aviso Prévio Indenizado</t>
  </si>
  <si>
    <t>[(62,93%) x 5,55% x (1/12)] x 100</t>
  </si>
  <si>
    <t>Aviso Prévio Trabalhado</t>
  </si>
  <si>
    <t>[(62,93%) x 94,45% x (7/30)/12] x 100</t>
  </si>
  <si>
    <t>Multa do FGTS sobre o Aviso Prévio Trabalhado</t>
  </si>
  <si>
    <t>1,16% x 40%  x 8,00% x 100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</si>
  <si>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</si>
  <si>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</si>
  <si>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</si>
  <si>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</si>
  <si>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</si>
  <si>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 xml:space="preserve">(1/12) x 100 </t>
  </si>
  <si>
    <t>Substituto na Cobertura de Ausências Legais</t>
  </si>
  <si>
    <t>[(8/30)/12] x 100</t>
  </si>
  <si>
    <t>Substituto na Cobertura de Licença-Paternidade</t>
  </si>
  <si>
    <t>{[(20/30)/12] x 1,416% x 45,22%} x 100</t>
  </si>
  <si>
    <t>Substituto na Cobertura de Ausência por Acidente de Trabalho</t>
  </si>
  <si>
    <t>[(15/30)/12] x 0,44%} x 100</t>
  </si>
  <si>
    <t>Substituto na Cobertura de Afastamento Maternidade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</si>
  <si>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</si>
  <si>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</si>
  <si>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</si>
  <si>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</si>
  <si>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MÓDULO 1: COMPOSIÇÃO DA REMUNERAÇÃO</t>
  </si>
  <si>
    <t>Composição da Remuneração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</si>
  <si>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</si>
  <si>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</si>
  <si>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</si>
  <si>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</si>
  <si>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</si>
  <si>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</si>
  <si>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</si>
  <si>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</si>
  <si>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</si>
  <si>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</si>
  <si>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</si>
  <si>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Submódulo 2.3 - Benefícios Mensais e Diários</t>
  </si>
  <si>
    <t>2.3</t>
  </si>
  <si>
    <t>Benefícios Mensais e Diários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</si>
  <si>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</si>
  <si>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</si>
  <si>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</si>
  <si>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</si>
  <si>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</si>
  <si>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</si>
  <si>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</si>
  <si>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</si>
  <si>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</si>
  <si>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</si>
  <si>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</si>
  <si>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</si>
  <si>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</si>
  <si>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</si>
  <si>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</si>
  <si>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</si>
  <si>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</si>
  <si>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</si>
  <si>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4.2</t>
  </si>
  <si>
    <t>Intrajornada</t>
  </si>
  <si>
    <t>Minutos / %</t>
  </si>
  <si>
    <t>Hora Extra (em %)</t>
  </si>
  <si>
    <t>Tempo de Intervalo para Refeição (em minutos)</t>
  </si>
  <si>
    <t>PR-PA</t>
  </si>
  <si>
    <t>DATA:</t>
  </si>
  <si>
    <t>CUSTOS REFERENTES AO POSTO</t>
  </si>
  <si>
    <t>01/2023</t>
  </si>
  <si>
    <t>DISCRIMINAÇÃO DOS SERVIÇOS (DADOS REFERENTES À CONTRATAÇÃO)</t>
  </si>
  <si>
    <t>Data de Apresentação da Proposta (DD/MM/AAAA)</t>
  </si>
  <si>
    <t>Local de Execução (Sede, Anexo I ou II, PTM, PRM)</t>
  </si>
  <si>
    <t>Acordo, Conv. ou Sentença Normativa em Dissídio Coletivo (MM/AAAA)</t>
  </si>
  <si>
    <t xml:space="preserve">PA000826/2022 </t>
  </si>
  <si>
    <t>Número de Meses de Execução Contratual</t>
  </si>
  <si>
    <t>Quantidade de Postos</t>
  </si>
  <si>
    <t>CUSTOS POR EMPREGADO</t>
  </si>
  <si>
    <t>Tipo de Serviço (mesmo serviço com características distintas)</t>
  </si>
  <si>
    <t>Oficial de manutenção</t>
  </si>
  <si>
    <t>Classificação Brasileira de Ocupações (CBO)</t>
  </si>
  <si>
    <t>5143-25</t>
  </si>
  <si>
    <t>Categoria Profissional (vinculada à execução contratual)</t>
  </si>
  <si>
    <t>Data-Base da Categoria (DD/MM/AAAA)</t>
  </si>
  <si>
    <t>PLANILHA DE CUSTOS E FORMAÇÃO DE PREÇOS</t>
  </si>
  <si>
    <t>EMPREGADOS POR POSTO</t>
  </si>
  <si>
    <t>Valor (R$)</t>
  </si>
  <si>
    <t>Salário-Base</t>
  </si>
  <si>
    <t>Adicional de Periculosidade</t>
  </si>
  <si>
    <t>Adicional Noturno</t>
  </si>
  <si>
    <t>Adicional de Hora Noturna Reduzida (em %)</t>
  </si>
  <si>
    <t>Adicional de Insalubridade</t>
  </si>
  <si>
    <t>Transporte</t>
  </si>
  <si>
    <t>Auxílio-Refeição/Alimentação</t>
  </si>
  <si>
    <t>Submódulo 4.2 - Substituto na Intrajornada</t>
  </si>
  <si>
    <t>Substituto na Intrajornada</t>
  </si>
  <si>
    <t>Substituto na Cobertura de Intervalo para Repouso e Alimentação</t>
  </si>
  <si>
    <t>MÓDULO 5: INSUMOS DIVERSOS</t>
  </si>
  <si>
    <t>Insumos Diversos</t>
  </si>
  <si>
    <t>Uniformes</t>
  </si>
  <si>
    <t>Ferramentas</t>
  </si>
  <si>
    <t>Equipamentos de Proteção Individual</t>
  </si>
  <si>
    <t>Outros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</si>
  <si>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</si>
  <si>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</si>
  <si>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</si>
  <si>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</si>
  <si>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</si>
  <si>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</si>
  <si>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</si>
  <si>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Cofins</t>
  </si>
  <si>
    <t>C.3</t>
  </si>
  <si>
    <t>ISS</t>
  </si>
  <si>
    <t>QUADRO RESUMO - CUSTO POR EMPREGADO</t>
  </si>
  <si>
    <t>MÓD.</t>
  </si>
  <si>
    <t>Mão-de-obra vinculada à execução contratual (valor por empregado)</t>
  </si>
  <si>
    <t>Valor    (R$)</t>
  </si>
  <si>
    <t>Encargos e Benefícios Anuais, Mensais e Diários</t>
  </si>
  <si>
    <t>Custo de Reposição do Profissional Ausente</t>
  </si>
  <si>
    <t>VALOR TOTAL DO EMPREGADO</t>
  </si>
  <si>
    <t>VALOR TOTAL POR POSTO</t>
  </si>
  <si>
    <t>VALOR TOTAL DA CATEGORIA</t>
  </si>
  <si>
    <t>C.4</t>
  </si>
  <si>
    <t>CPRB</t>
  </si>
  <si>
    <t>PRM-MARABÁ</t>
  </si>
  <si>
    <t>E – MATERIAIS PARA REPOSIÇÃO E ADAPTAÇÃO</t>
  </si>
  <si>
    <t>F –MATERIAIS E PRESTAÇÃO DE SERVIÇOS POR RESSARCIMENTO</t>
  </si>
  <si>
    <t>VALOR TOTAL ESTIMADO DA CONTRATAÇÃO (A+B+C+D+E+F)</t>
  </si>
  <si>
    <t>Ferramentas (43460 – SINAPI)</t>
  </si>
  <si>
    <t>Equipamentos de Proteção Individual (43484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</si>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</sst>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\ ;\-#,##0.00\ "/>
    <numFmt numFmtId="165" formatCode="[$R$-416]\ #,##0.00;[Red]\-[$R$-416]\ #,##0.00"/>
    <numFmt numFmtId="166" formatCode="d/m/yyyy"/>
    <numFmt numFmtId="167" formatCode="#,##0.00\ ;\(#,##0.00\)"/>
    <numFmt numFmtId="168" formatCode="#,##0.0"/>
    <numFmt numFmtId="169" formatCode="#,##0\ ;\(#,##0\)"/>
  </numFmts>
  <fonts count="56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9"/>
      <color indexed="81"/>
      <name val="Segoe UI"/>
      <family val="2"/>
    </font>
    <font>
      <sz val="12"/>
      <color rgb="FF000000"/>
      <name val="Times New Roman"/>
      <family val="1"/>
    </font>
    <font>
      <b/>
      <sz val="11"/>
      <name val="Segoe UI Light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632523"/>
      <name val="Segoe UI Light"/>
      <family val="2"/>
    </font>
    <font>
      <b/>
      <sz val="11"/>
      <color rgb="FFFFFFFF"/>
      <name val="Segoe UI Light"/>
      <family val="2"/>
    </font>
    <font>
      <sz val="11"/>
      <color rgb="FFFF0000"/>
      <name val="Segoe UI Light"/>
      <family val="2"/>
    </font>
    <font>
      <b/>
      <sz val="14"/>
      <color rgb="FF953735"/>
      <name val="Segoe UI Light"/>
      <family val="2"/>
    </font>
    <font>
      <sz val="11"/>
      <color rgb="FF953735"/>
      <name val="Segoe UI Light"/>
      <family val="2"/>
    </font>
    <font>
      <sz val="14"/>
      <name val="Segoe UI Light"/>
      <family val="2"/>
    </font>
    <font>
      <b/>
      <sz val="16"/>
      <name val="Segoe UI Light"/>
      <family val="2"/>
    </font>
    <font>
      <b/>
      <sz val="12"/>
      <name val="Segoe UI Light"/>
      <family val="2"/>
    </font>
    <font>
      <b/>
      <sz val="20"/>
      <name val="Segoe UI Light"/>
      <family val="2"/>
    </font>
    <font>
      <b/>
      <sz val="11"/>
      <color rgb="FFFF0000"/>
      <name val="Segoe UI Light"/>
      <family val="2"/>
    </font>
    <font>
      <i/>
      <sz val="10"/>
      <color rgb="FFFFFFFF"/>
      <name val="Segoe UI Light"/>
      <family val="2"/>
    </font>
    <font>
      <i/>
      <sz val="10"/>
      <name val="Segoe UI Light"/>
      <family val="2"/>
    </font>
    <font>
      <b/>
      <sz val="14"/>
      <name val="Segoe UI Light"/>
      <family val="2"/>
    </font>
  </fonts>
  <fills count="30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0.5999938962981048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CD5B5"/>
        <bgColor rgb="FFFDEADA"/>
      </patternFill>
    </fill>
    <fill>
      <patternFill patternType="solid">
        <fgColor rgb="FFFDEADA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-0.249977111117893"/>
        <bgColor rgb="FF993300"/>
      </patternFill>
    </fill>
    <fill>
      <patternFill patternType="solid">
        <fgColor theme="4" tint="-0.499984740745262"/>
        <bgColor rgb="FF993300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993300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1"/>
      </left>
      <right/>
      <top/>
      <bottom style="medium">
        <color rgb="FF000001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</borders>
  <cellStyleXfs count="6">
    <xf numFmtId="0" fontId="0" fillId="0" borderId="0"/>
    <xf numFmtId="0" fontId="2" fillId="0" borderId="0" applyBorder="0" applyProtection="0"/>
    <xf numFmtId="44" fontId="16" fillId="0" borderId="0" applyFont="0" applyFill="0" applyBorder="0" applyAlignment="0" applyProtection="0"/>
    <xf numFmtId="0" fontId="18" fillId="0" borderId="0"/>
    <xf numFmtId="0" fontId="23" fillId="0" borderId="0"/>
    <xf numFmtId="9" fontId="16" fillId="0" borderId="0" applyFont="0" applyFill="0" applyBorder="0" applyAlignment="0" applyProtection="0"/>
  </cellStyleXfs>
  <cellXfs count="358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8" fillId="0" borderId="0" xfId="3"/>
    <xf numFmtId="0" fontId="20" fillId="8" borderId="0" xfId="3" applyFont="1" applyFill="1" applyAlignment="1">
      <alignment horizontal="center"/>
    </xf>
    <xf numFmtId="0" fontId="19" fillId="8" borderId="0" xfId="3" applyFont="1" applyFill="1" applyAlignment="1">
      <alignment horizontal="center"/>
    </xf>
    <xf numFmtId="0" fontId="19" fillId="0" borderId="0" xfId="3" applyFont="1"/>
    <xf numFmtId="0" fontId="22" fillId="8" borderId="0" xfId="3" applyFont="1" applyFill="1"/>
    <xf numFmtId="0" fontId="19" fillId="8" borderId="0" xfId="3" applyFont="1" applyFill="1"/>
    <xf numFmtId="0" fontId="22" fillId="0" borderId="0" xfId="3" applyFont="1"/>
    <xf numFmtId="0" fontId="21" fillId="0" borderId="0" xfId="3" applyFont="1"/>
    <xf numFmtId="0" fontId="29" fillId="0" borderId="1" xfId="3" applyFont="1" applyBorder="1" applyAlignment="1">
      <alignment horizontal="center"/>
    </xf>
    <xf numFmtId="0" fontId="29" fillId="0" borderId="1" xfId="3" applyFont="1" applyBorder="1"/>
    <xf numFmtId="10" fontId="29" fillId="9" borderId="1" xfId="3" applyNumberFormat="1" applyFont="1" applyFill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17" fillId="0" borderId="0" xfId="4" applyFont="1"/>
    <xf numFmtId="0" fontId="17" fillId="0" borderId="0" xfId="4" applyFont="1" applyAlignment="1">
      <alignment horizontal="justify" vertical="center"/>
    </xf>
    <xf numFmtId="0" fontId="26" fillId="8" borderId="0" xfId="3" applyFont="1" applyFill="1" applyAlignment="1">
      <alignment horizontal="center"/>
    </xf>
    <xf numFmtId="0" fontId="27" fillId="0" borderId="0" xfId="3" applyFont="1" applyAlignment="1">
      <alignment horizontal="center"/>
    </xf>
    <xf numFmtId="0" fontId="30" fillId="8" borderId="0" xfId="3" applyFont="1" applyFill="1" applyAlignment="1">
      <alignment horizontal="center" wrapText="1"/>
    </xf>
    <xf numFmtId="0" fontId="27" fillId="0" borderId="0" xfId="3" applyFont="1" applyAlignment="1">
      <alignment horizontal="left"/>
    </xf>
    <xf numFmtId="0" fontId="17" fillId="7" borderId="0" xfId="4" applyFont="1" applyFill="1" applyAlignment="1">
      <alignment horizontal="justify" vertical="center"/>
    </xf>
    <xf numFmtId="0" fontId="17" fillId="7" borderId="0" xfId="4" applyFont="1" applyFill="1"/>
    <xf numFmtId="0" fontId="34" fillId="7" borderId="0" xfId="4" applyFont="1" applyFill="1" applyAlignment="1">
      <alignment horizontal="justify" vertical="center"/>
    </xf>
    <xf numFmtId="0" fontId="34" fillId="7" borderId="0" xfId="4" applyFont="1" applyFill="1"/>
    <xf numFmtId="0" fontId="17" fillId="0" borderId="11" xfId="4" applyFont="1" applyBorder="1" applyAlignment="1">
      <alignment horizontal="center" vertical="center"/>
    </xf>
    <xf numFmtId="0" fontId="29" fillId="0" borderId="11" xfId="4" applyFont="1" applyBorder="1" applyAlignment="1">
      <alignment horizontal="justify" vertical="center" wrapText="1"/>
    </xf>
    <xf numFmtId="4" fontId="17" fillId="0" borderId="11" xfId="4" applyNumberFormat="1" applyFont="1" applyBorder="1" applyAlignment="1">
      <alignment vertical="center"/>
    </xf>
    <xf numFmtId="0" fontId="17" fillId="0" borderId="11" xfId="4" applyFont="1" applyBorder="1" applyAlignment="1">
      <alignment horizontal="justify" vertical="center" wrapText="1"/>
    </xf>
    <xf numFmtId="0" fontId="24" fillId="0" borderId="11" xfId="4" applyFont="1" applyBorder="1" applyAlignment="1">
      <alignment horizontal="center" vertical="center" wrapText="1"/>
    </xf>
    <xf numFmtId="4" fontId="17" fillId="0" borderId="11" xfId="4" applyNumberFormat="1" applyFont="1" applyBorder="1" applyAlignment="1">
      <alignment horizontal="right" vertical="center" wrapText="1"/>
    </xf>
    <xf numFmtId="0" fontId="17" fillId="0" borderId="11" xfId="4" applyFont="1" applyBorder="1" applyAlignment="1">
      <alignment horizontal="center" vertical="center" wrapText="1"/>
    </xf>
    <xf numFmtId="0" fontId="17" fillId="0" borderId="11" xfId="4" applyFont="1" applyBorder="1" applyAlignment="1">
      <alignment horizontal="justify" vertical="center"/>
    </xf>
    <xf numFmtId="0" fontId="29" fillId="0" borderId="11" xfId="4" applyFont="1" applyBorder="1" applyAlignment="1">
      <alignment horizontal="justify" vertical="center"/>
    </xf>
    <xf numFmtId="4" fontId="17" fillId="0" borderId="11" xfId="4" applyNumberFormat="1" applyFont="1" applyBorder="1" applyAlignment="1">
      <alignment horizontal="right" vertical="center"/>
    </xf>
    <xf numFmtId="0" fontId="1" fillId="7" borderId="11" xfId="4" applyFont="1" applyFill="1" applyBorder="1" applyAlignment="1">
      <alignment horizontal="center" vertical="center" wrapText="1"/>
    </xf>
    <xf numFmtId="4" fontId="17" fillId="7" borderId="0" xfId="4" applyNumberFormat="1" applyFont="1" applyFill="1"/>
    <xf numFmtId="4" fontId="34" fillId="7" borderId="0" xfId="4" applyNumberFormat="1" applyFont="1" applyFill="1"/>
    <xf numFmtId="0" fontId="17" fillId="0" borderId="0" xfId="4" applyFont="1" applyAlignment="1">
      <alignment horizontal="center" vertical="center"/>
    </xf>
    <xf numFmtId="0" fontId="29" fillId="0" borderId="0" xfId="4" applyFont="1" applyAlignment="1">
      <alignment horizontal="justify" vertical="center" wrapText="1"/>
    </xf>
    <xf numFmtId="4" fontId="17" fillId="0" borderId="0" xfId="4" applyNumberFormat="1" applyFont="1" applyAlignment="1">
      <alignment vertical="center"/>
    </xf>
    <xf numFmtId="10" fontId="17" fillId="7" borderId="0" xfId="5" applyNumberFormat="1" applyFont="1" applyFill="1"/>
    <xf numFmtId="4" fontId="38" fillId="13" borderId="13" xfId="0" applyNumberFormat="1" applyFont="1" applyFill="1" applyBorder="1" applyAlignment="1">
      <alignment horizontal="center" vertical="center" wrapText="1"/>
    </xf>
    <xf numFmtId="0" fontId="39" fillId="15" borderId="14" xfId="0" applyFont="1" applyFill="1" applyBorder="1" applyAlignment="1">
      <alignment horizontal="center" vertical="center" wrapText="1"/>
    </xf>
    <xf numFmtId="0" fontId="39" fillId="15" borderId="14" xfId="0" applyFont="1" applyFill="1" applyBorder="1" applyAlignment="1">
      <alignment horizontal="center" vertical="center"/>
    </xf>
    <xf numFmtId="2" fontId="40" fillId="16" borderId="14" xfId="0" applyNumberFormat="1" applyFont="1" applyFill="1" applyBorder="1" applyAlignment="1">
      <alignment horizontal="center" wrapText="1"/>
    </xf>
    <xf numFmtId="165" fontId="40" fillId="16" borderId="14" xfId="0" applyNumberFormat="1" applyFont="1" applyFill="1" applyBorder="1" applyAlignment="1">
      <alignment horizontal="center" vertical="center"/>
    </xf>
    <xf numFmtId="2" fontId="40" fillId="17" borderId="14" xfId="0" applyNumberFormat="1" applyFont="1" applyFill="1" applyBorder="1" applyAlignment="1">
      <alignment horizontal="center" wrapText="1"/>
    </xf>
    <xf numFmtId="165" fontId="40" fillId="17" borderId="14" xfId="0" applyNumberFormat="1" applyFont="1" applyFill="1" applyBorder="1" applyAlignment="1">
      <alignment horizontal="center" vertical="center"/>
    </xf>
    <xf numFmtId="2" fontId="39" fillId="14" borderId="14" xfId="0" applyNumberFormat="1" applyFont="1" applyFill="1" applyBorder="1" applyAlignment="1">
      <alignment horizontal="center" wrapText="1"/>
    </xf>
    <xf numFmtId="0" fontId="41" fillId="18" borderId="0" xfId="0" applyFont="1" applyFill="1"/>
    <xf numFmtId="0" fontId="40" fillId="18" borderId="0" xfId="0" applyFont="1" applyFill="1"/>
    <xf numFmtId="0" fontId="42" fillId="18" borderId="0" xfId="0" applyFont="1" applyFill="1"/>
    <xf numFmtId="0" fontId="43" fillId="18" borderId="0" xfId="0" applyFont="1" applyFill="1" applyAlignment="1">
      <alignment horizontal="left"/>
    </xf>
    <xf numFmtId="167" fontId="40" fillId="18" borderId="0" xfId="0" applyNumberFormat="1" applyFont="1" applyFill="1" applyAlignment="1">
      <alignment horizontal="center"/>
    </xf>
    <xf numFmtId="0" fontId="39" fillId="18" borderId="0" xfId="0" applyFont="1" applyFill="1" applyAlignment="1">
      <alignment horizontal="left" vertical="center" wrapText="1"/>
    </xf>
    <xf numFmtId="0" fontId="39" fillId="18" borderId="0" xfId="0" applyFont="1" applyFill="1" applyAlignment="1">
      <alignment horizontal="center" vertical="center" wrapText="1"/>
    </xf>
    <xf numFmtId="167" fontId="39" fillId="18" borderId="0" xfId="0" applyNumberFormat="1" applyFont="1" applyFill="1" applyAlignment="1">
      <alignment horizontal="center" vertical="center" wrapText="1"/>
    </xf>
    <xf numFmtId="0" fontId="44" fillId="19" borderId="14" xfId="0" applyFont="1" applyFill="1" applyBorder="1" applyAlignment="1">
      <alignment horizontal="center" vertical="center"/>
    </xf>
    <xf numFmtId="0" fontId="44" fillId="19" borderId="14" xfId="0" applyFont="1" applyFill="1" applyBorder="1" applyAlignment="1">
      <alignment horizontal="center" vertical="center" wrapText="1"/>
    </xf>
    <xf numFmtId="2" fontId="40" fillId="20" borderId="14" xfId="0" applyNumberFormat="1" applyFont="1" applyFill="1" applyBorder="1" applyAlignment="1">
      <alignment horizontal="center" vertical="center" wrapText="1"/>
    </xf>
    <xf numFmtId="0" fontId="40" fillId="21" borderId="14" xfId="0" applyFont="1" applyFill="1" applyBorder="1" applyAlignment="1">
      <alignment horizontal="left" vertical="center" wrapText="1"/>
    </xf>
    <xf numFmtId="2" fontId="40" fillId="21" borderId="14" xfId="0" applyNumberFormat="1" applyFont="1" applyFill="1" applyBorder="1" applyAlignment="1">
      <alignment horizontal="center" vertical="center"/>
    </xf>
    <xf numFmtId="0" fontId="45" fillId="18" borderId="0" xfId="0" applyFont="1" applyFill="1"/>
    <xf numFmtId="2" fontId="40" fillId="21" borderId="14" xfId="0" applyNumberFormat="1" applyFont="1" applyFill="1" applyBorder="1" applyAlignment="1">
      <alignment horizontal="center" vertical="center" wrapText="1"/>
    </xf>
    <xf numFmtId="2" fontId="44" fillId="19" borderId="14" xfId="0" applyNumberFormat="1" applyFont="1" applyFill="1" applyBorder="1" applyAlignment="1">
      <alignment horizontal="center" vertical="center"/>
    </xf>
    <xf numFmtId="0" fontId="46" fillId="18" borderId="0" xfId="0" applyFont="1" applyFill="1" applyAlignment="1">
      <alignment horizontal="left" vertical="center"/>
    </xf>
    <xf numFmtId="0" fontId="40" fillId="18" borderId="0" xfId="0" applyFont="1" applyFill="1" applyAlignment="1">
      <alignment vertical="center" wrapText="1"/>
    </xf>
    <xf numFmtId="167" fontId="40" fillId="18" borderId="0" xfId="0" applyNumberFormat="1" applyFont="1" applyFill="1" applyAlignment="1">
      <alignment horizontal="right"/>
    </xf>
    <xf numFmtId="3" fontId="40" fillId="20" borderId="14" xfId="0" applyNumberFormat="1" applyFont="1" applyFill="1" applyBorder="1" applyAlignment="1">
      <alignment horizontal="right" vertical="center" wrapText="1"/>
    </xf>
    <xf numFmtId="3" fontId="40" fillId="21" borderId="14" xfId="0" applyNumberFormat="1" applyFont="1" applyFill="1" applyBorder="1" applyAlignment="1">
      <alignment horizontal="right" vertical="center" wrapText="1"/>
    </xf>
    <xf numFmtId="168" fontId="40" fillId="21" borderId="14" xfId="0" applyNumberFormat="1" applyFont="1" applyFill="1" applyBorder="1" applyAlignment="1">
      <alignment horizontal="right" vertical="center" wrapText="1"/>
    </xf>
    <xf numFmtId="168" fontId="40" fillId="20" borderId="14" xfId="0" applyNumberFormat="1" applyFont="1" applyFill="1" applyBorder="1" applyAlignment="1">
      <alignment horizontal="right" vertical="center" wrapText="1"/>
    </xf>
    <xf numFmtId="0" fontId="44" fillId="19" borderId="16" xfId="0" applyFont="1" applyFill="1" applyBorder="1" applyAlignment="1">
      <alignment horizontal="center" vertical="center"/>
    </xf>
    <xf numFmtId="0" fontId="40" fillId="21" borderId="14" xfId="0" applyFont="1" applyFill="1" applyBorder="1" applyAlignment="1">
      <alignment horizontal="center"/>
    </xf>
    <xf numFmtId="169" fontId="40" fillId="21" borderId="14" xfId="0" applyNumberFormat="1" applyFont="1" applyFill="1" applyBorder="1" applyAlignment="1">
      <alignment horizontal="right" vertical="center" wrapText="1"/>
    </xf>
    <xf numFmtId="167" fontId="40" fillId="20" borderId="14" xfId="0" applyNumberFormat="1" applyFont="1" applyFill="1" applyBorder="1" applyAlignment="1">
      <alignment horizontal="right" vertical="center" wrapText="1"/>
    </xf>
    <xf numFmtId="167" fontId="40" fillId="21" borderId="14" xfId="0" applyNumberFormat="1" applyFont="1" applyFill="1" applyBorder="1" applyAlignment="1">
      <alignment horizontal="right" vertical="center" wrapText="1"/>
    </xf>
    <xf numFmtId="169" fontId="40" fillId="20" borderId="14" xfId="0" applyNumberFormat="1" applyFont="1" applyFill="1" applyBorder="1" applyAlignment="1">
      <alignment horizontal="right" vertical="center" wrapText="1"/>
    </xf>
    <xf numFmtId="0" fontId="47" fillId="18" borderId="0" xfId="0" applyFont="1" applyFill="1" applyAlignment="1">
      <alignment horizontal="left" vertical="center" wrapText="1"/>
    </xf>
    <xf numFmtId="167" fontId="47" fillId="18" borderId="0" xfId="0" applyNumberFormat="1" applyFont="1" applyFill="1" applyAlignment="1">
      <alignment horizontal="center" vertical="center" wrapText="1"/>
    </xf>
    <xf numFmtId="166" fontId="48" fillId="22" borderId="17" xfId="0" applyNumberFormat="1" applyFont="1" applyFill="1" applyBorder="1" applyAlignment="1">
      <alignment horizontal="right"/>
    </xf>
    <xf numFmtId="166" fontId="48" fillId="22" borderId="17" xfId="0" applyNumberFormat="1" applyFont="1" applyFill="1" applyBorder="1"/>
    <xf numFmtId="0" fontId="40" fillId="16" borderId="14" xfId="0" applyFont="1" applyFill="1" applyBorder="1" applyAlignment="1">
      <alignment horizontal="center"/>
    </xf>
    <xf numFmtId="49" fontId="40" fillId="22" borderId="14" xfId="0" applyNumberFormat="1" applyFont="1" applyFill="1" applyBorder="1" applyAlignment="1">
      <alignment horizontal="center"/>
    </xf>
    <xf numFmtId="0" fontId="44" fillId="24" borderId="14" xfId="0" applyFont="1" applyFill="1" applyBorder="1" applyAlignment="1">
      <alignment horizontal="center"/>
    </xf>
    <xf numFmtId="166" fontId="40" fillId="16" borderId="14" xfId="0" applyNumberFormat="1" applyFont="1" applyFill="1" applyBorder="1" applyAlignment="1">
      <alignment horizontal="center"/>
    </xf>
    <xf numFmtId="0" fontId="44" fillId="24" borderId="14" xfId="0" applyFont="1" applyFill="1" applyBorder="1" applyAlignment="1">
      <alignment horizontal="center" vertical="center"/>
    </xf>
    <xf numFmtId="0" fontId="40" fillId="22" borderId="14" xfId="0" applyFont="1" applyFill="1" applyBorder="1" applyAlignment="1">
      <alignment horizontal="justify" vertical="center" wrapText="1"/>
    </xf>
    <xf numFmtId="0" fontId="40" fillId="22" borderId="14" xfId="0" applyFont="1" applyFill="1" applyBorder="1" applyAlignment="1">
      <alignment horizontal="center"/>
    </xf>
    <xf numFmtId="0" fontId="49" fillId="18" borderId="0" xfId="0" applyFont="1" applyFill="1" applyAlignment="1">
      <alignment vertical="center"/>
    </xf>
    <xf numFmtId="0" fontId="40" fillId="18" borderId="0" xfId="0" applyFont="1" applyFill="1" applyAlignment="1">
      <alignment vertical="top"/>
    </xf>
    <xf numFmtId="0" fontId="42" fillId="18" borderId="0" xfId="0" applyFont="1" applyFill="1" applyAlignment="1">
      <alignment vertical="top"/>
    </xf>
    <xf numFmtId="0" fontId="40" fillId="22" borderId="14" xfId="0" applyFont="1" applyFill="1" applyBorder="1"/>
    <xf numFmtId="0" fontId="40" fillId="16" borderId="14" xfId="0" applyFont="1" applyFill="1" applyBorder="1"/>
    <xf numFmtId="14" fontId="40" fillId="22" borderId="14" xfId="0" applyNumberFormat="1" applyFont="1" applyFill="1" applyBorder="1" applyAlignment="1">
      <alignment horizontal="center"/>
    </xf>
    <xf numFmtId="0" fontId="47" fillId="18" borderId="0" xfId="0" applyFont="1" applyFill="1"/>
    <xf numFmtId="0" fontId="39" fillId="18" borderId="0" xfId="0" applyFont="1" applyFill="1" applyAlignment="1">
      <alignment horizontal="left"/>
    </xf>
    <xf numFmtId="0" fontId="44" fillId="24" borderId="14" xfId="0" applyFont="1" applyFill="1" applyBorder="1" applyAlignment="1">
      <alignment horizontal="center" vertical="center" wrapText="1"/>
    </xf>
    <xf numFmtId="4" fontId="40" fillId="16" borderId="14" xfId="0" applyNumberFormat="1" applyFont="1" applyFill="1" applyBorder="1" applyAlignment="1">
      <alignment horizontal="right" vertical="center" wrapText="1"/>
    </xf>
    <xf numFmtId="4" fontId="40" fillId="22" borderId="14" xfId="0" applyNumberFormat="1" applyFont="1" applyFill="1" applyBorder="1" applyAlignment="1">
      <alignment horizontal="right" vertical="center" wrapText="1"/>
    </xf>
    <xf numFmtId="4" fontId="44" fillId="24" borderId="14" xfId="0" applyNumberFormat="1" applyFont="1" applyFill="1" applyBorder="1" applyAlignment="1">
      <alignment horizontal="right" vertical="center" wrapText="1"/>
    </xf>
    <xf numFmtId="2" fontId="40" fillId="16" borderId="14" xfId="0" applyNumberFormat="1" applyFont="1" applyFill="1" applyBorder="1" applyAlignment="1">
      <alignment horizontal="center" vertical="center" wrapText="1"/>
    </xf>
    <xf numFmtId="167" fontId="40" fillId="16" borderId="14" xfId="0" applyNumberFormat="1" applyFont="1" applyFill="1" applyBorder="1" applyAlignment="1">
      <alignment horizontal="right" vertical="center" wrapText="1"/>
    </xf>
    <xf numFmtId="2" fontId="40" fillId="22" borderId="14" xfId="0" applyNumberFormat="1" applyFont="1" applyFill="1" applyBorder="1" applyAlignment="1">
      <alignment horizontal="center" vertical="center"/>
    </xf>
    <xf numFmtId="167" fontId="40" fillId="22" borderId="14" xfId="0" applyNumberFormat="1" applyFont="1" applyFill="1" applyBorder="1" applyAlignment="1">
      <alignment horizontal="right" vertical="center" wrapText="1"/>
    </xf>
    <xf numFmtId="4" fontId="44" fillId="24" borderId="14" xfId="0" applyNumberFormat="1" applyFont="1" applyFill="1" applyBorder="1" applyAlignment="1">
      <alignment horizontal="right"/>
    </xf>
    <xf numFmtId="2" fontId="40" fillId="22" borderId="14" xfId="0" applyNumberFormat="1" applyFont="1" applyFill="1" applyBorder="1" applyAlignment="1">
      <alignment horizontal="center" vertical="center" wrapText="1"/>
    </xf>
    <xf numFmtId="4" fontId="44" fillId="24" borderId="14" xfId="0" applyNumberFormat="1" applyFont="1" applyFill="1" applyBorder="1" applyAlignment="1">
      <alignment horizontal="right" vertical="center"/>
    </xf>
    <xf numFmtId="0" fontId="52" fillId="18" borderId="0" xfId="0" applyFont="1" applyFill="1"/>
    <xf numFmtId="0" fontId="49" fillId="18" borderId="0" xfId="0" applyFont="1" applyFill="1" applyAlignment="1">
      <alignment horizontal="left" vertical="center"/>
    </xf>
    <xf numFmtId="0" fontId="40" fillId="18" borderId="0" xfId="0" applyFont="1" applyFill="1" applyAlignment="1">
      <alignment horizontal="center"/>
    </xf>
    <xf numFmtId="164" fontId="40" fillId="22" borderId="14" xfId="0" applyNumberFormat="1" applyFont="1" applyFill="1" applyBorder="1" applyAlignment="1">
      <alignment horizontal="center" vertical="center" wrapText="1"/>
    </xf>
    <xf numFmtId="0" fontId="44" fillId="24" borderId="21" xfId="0" applyFont="1" applyFill="1" applyBorder="1" applyAlignment="1">
      <alignment horizontal="center" vertical="center"/>
    </xf>
    <xf numFmtId="0" fontId="44" fillId="24" borderId="21" xfId="0" applyFont="1" applyFill="1" applyBorder="1" applyAlignment="1">
      <alignment horizontal="center" vertical="center" wrapText="1"/>
    </xf>
    <xf numFmtId="0" fontId="44" fillId="24" borderId="21" xfId="0" applyFont="1" applyFill="1" applyBorder="1" applyAlignment="1">
      <alignment horizontal="center"/>
    </xf>
    <xf numFmtId="167" fontId="40" fillId="16" borderId="21" xfId="0" applyNumberFormat="1" applyFont="1" applyFill="1" applyBorder="1" applyAlignment="1">
      <alignment horizontal="right" vertical="center" wrapText="1"/>
    </xf>
    <xf numFmtId="167" fontId="40" fillId="22" borderId="21" xfId="0" applyNumberFormat="1" applyFont="1" applyFill="1" applyBorder="1" applyAlignment="1">
      <alignment horizontal="right" vertical="center" wrapText="1"/>
    </xf>
    <xf numFmtId="4" fontId="44" fillId="24" borderId="21" xfId="0" applyNumberFormat="1" applyFont="1" applyFill="1" applyBorder="1" applyAlignment="1">
      <alignment horizontal="right" vertical="center" wrapText="1"/>
    </xf>
    <xf numFmtId="167" fontId="40" fillId="16" borderId="14" xfId="0" applyNumberFormat="1" applyFont="1" applyFill="1" applyBorder="1" applyAlignment="1">
      <alignment horizontal="center" vertical="center" wrapText="1"/>
    </xf>
    <xf numFmtId="167" fontId="40" fillId="22" borderId="14" xfId="0" applyNumberFormat="1" applyFont="1" applyFill="1" applyBorder="1" applyAlignment="1">
      <alignment horizontal="center" vertical="center" wrapText="1"/>
    </xf>
    <xf numFmtId="10" fontId="40" fillId="16" borderId="14" xfId="0" applyNumberFormat="1" applyFont="1" applyFill="1" applyBorder="1" applyAlignment="1">
      <alignment horizontal="center" vertical="center" wrapText="1"/>
    </xf>
    <xf numFmtId="0" fontId="53" fillId="24" borderId="14" xfId="0" applyFont="1" applyFill="1" applyBorder="1" applyAlignment="1">
      <alignment horizontal="center" vertical="center" wrapText="1"/>
    </xf>
    <xf numFmtId="10" fontId="54" fillId="22" borderId="14" xfId="0" applyNumberFormat="1" applyFont="1" applyFill="1" applyBorder="1" applyAlignment="1">
      <alignment horizontal="center" vertical="center" wrapText="1"/>
    </xf>
    <xf numFmtId="167" fontId="54" fillId="22" borderId="14" xfId="0" applyNumberFormat="1" applyFont="1" applyFill="1" applyBorder="1" applyAlignment="1">
      <alignment horizontal="right" vertical="center" wrapText="1"/>
    </xf>
    <xf numFmtId="10" fontId="54" fillId="16" borderId="14" xfId="0" applyNumberFormat="1" applyFont="1" applyFill="1" applyBorder="1" applyAlignment="1">
      <alignment horizontal="center" vertical="center" wrapText="1"/>
    </xf>
    <xf numFmtId="167" fontId="54" fillId="16" borderId="14" xfId="0" applyNumberFormat="1" applyFont="1" applyFill="1" applyBorder="1" applyAlignment="1">
      <alignment horizontal="right" vertical="center" wrapText="1"/>
    </xf>
    <xf numFmtId="0" fontId="45" fillId="18" borderId="0" xfId="0" applyFont="1" applyFill="1" applyAlignment="1">
      <alignment wrapText="1"/>
    </xf>
    <xf numFmtId="167" fontId="44" fillId="24" borderId="14" xfId="0" applyNumberFormat="1" applyFont="1" applyFill="1" applyBorder="1" applyAlignment="1">
      <alignment horizontal="right" vertical="center" wrapText="1"/>
    </xf>
    <xf numFmtId="0" fontId="55" fillId="18" borderId="0" xfId="0" applyFont="1" applyFill="1" applyAlignment="1">
      <alignment horizontal="left" vertical="center"/>
    </xf>
    <xf numFmtId="0" fontId="40" fillId="18" borderId="0" xfId="0" applyFont="1" applyFill="1" applyAlignment="1">
      <alignment horizontal="left" vertical="center" wrapText="1"/>
    </xf>
    <xf numFmtId="167" fontId="40" fillId="18" borderId="0" xfId="0" applyNumberFormat="1" applyFont="1" applyFill="1" applyAlignment="1">
      <alignment horizontal="center" vertical="center" wrapText="1"/>
    </xf>
    <xf numFmtId="0" fontId="45" fillId="18" borderId="0" xfId="0" applyFont="1" applyFill="1" applyAlignment="1">
      <alignment horizontal="center" wrapText="1"/>
    </xf>
    <xf numFmtId="0" fontId="40" fillId="18" borderId="0" xfId="0" applyFont="1" applyFill="1" applyAlignment="1">
      <alignment wrapText="1"/>
    </xf>
    <xf numFmtId="167" fontId="44" fillId="24" borderId="22" xfId="0" applyNumberFormat="1" applyFont="1" applyFill="1" applyBorder="1" applyAlignment="1">
      <alignment horizontal="right" vertical="center" wrapText="1"/>
    </xf>
    <xf numFmtId="167" fontId="44" fillId="18" borderId="0" xfId="0" applyNumberFormat="1" applyFont="1" applyFill="1" applyAlignment="1">
      <alignment horizontal="right" vertical="center" wrapText="1"/>
    </xf>
    <xf numFmtId="166" fontId="48" fillId="25" borderId="17" xfId="0" applyNumberFormat="1" applyFont="1" applyFill="1" applyBorder="1"/>
    <xf numFmtId="0" fontId="44" fillId="23" borderId="14" xfId="0" applyFont="1" applyFill="1" applyBorder="1" applyAlignment="1">
      <alignment horizontal="center"/>
    </xf>
    <xf numFmtId="166" fontId="40" fillId="26" borderId="14" xfId="0" applyNumberFormat="1" applyFont="1" applyFill="1" applyBorder="1" applyAlignment="1">
      <alignment horizontal="center"/>
    </xf>
    <xf numFmtId="0" fontId="44" fillId="23" borderId="14" xfId="0" applyFont="1" applyFill="1" applyBorder="1" applyAlignment="1">
      <alignment horizontal="center" vertical="center"/>
    </xf>
    <xf numFmtId="166" fontId="40" fillId="22" borderId="14" xfId="0" applyNumberFormat="1" applyFont="1" applyFill="1" applyBorder="1" applyAlignment="1">
      <alignment horizontal="center"/>
    </xf>
    <xf numFmtId="0" fontId="44" fillId="23" borderId="14" xfId="0" applyFont="1" applyFill="1" applyBorder="1" applyAlignment="1">
      <alignment horizontal="center" vertical="center" wrapText="1"/>
    </xf>
    <xf numFmtId="4" fontId="40" fillId="26" borderId="14" xfId="0" applyNumberFormat="1" applyFont="1" applyFill="1" applyBorder="1" applyAlignment="1">
      <alignment horizontal="right" vertical="center" wrapText="1"/>
    </xf>
    <xf numFmtId="4" fontId="40" fillId="25" borderId="14" xfId="0" applyNumberFormat="1" applyFont="1" applyFill="1" applyBorder="1" applyAlignment="1">
      <alignment horizontal="right" vertical="center" wrapText="1"/>
    </xf>
    <xf numFmtId="4" fontId="39" fillId="27" borderId="14" xfId="0" applyNumberFormat="1" applyFont="1" applyFill="1" applyBorder="1" applyAlignment="1">
      <alignment horizontal="right" vertical="center" wrapText="1"/>
    </xf>
    <xf numFmtId="167" fontId="40" fillId="26" borderId="14" xfId="0" applyNumberFormat="1" applyFont="1" applyFill="1" applyBorder="1" applyAlignment="1">
      <alignment horizontal="right" vertical="center" wrapText="1"/>
    </xf>
    <xf numFmtId="167" fontId="40" fillId="25" borderId="14" xfId="0" applyNumberFormat="1" applyFont="1" applyFill="1" applyBorder="1" applyAlignment="1">
      <alignment horizontal="right" vertical="center" wrapText="1"/>
    </xf>
    <xf numFmtId="4" fontId="39" fillId="27" borderId="14" xfId="0" applyNumberFormat="1" applyFont="1" applyFill="1" applyBorder="1" applyAlignment="1">
      <alignment horizontal="right"/>
    </xf>
    <xf numFmtId="2" fontId="40" fillId="26" borderId="14" xfId="0" applyNumberFormat="1" applyFont="1" applyFill="1" applyBorder="1" applyAlignment="1">
      <alignment horizontal="center" vertical="center" wrapText="1"/>
    </xf>
    <xf numFmtId="2" fontId="40" fillId="25" borderId="14" xfId="0" applyNumberFormat="1" applyFont="1" applyFill="1" applyBorder="1" applyAlignment="1">
      <alignment horizontal="center" vertical="center" wrapText="1"/>
    </xf>
    <xf numFmtId="2" fontId="40" fillId="25" borderId="14" xfId="0" applyNumberFormat="1" applyFont="1" applyFill="1" applyBorder="1" applyAlignment="1">
      <alignment horizontal="center" vertical="center"/>
    </xf>
    <xf numFmtId="4" fontId="39" fillId="27" borderId="14" xfId="0" applyNumberFormat="1" applyFont="1" applyFill="1" applyBorder="1" applyAlignment="1">
      <alignment horizontal="right" vertical="center"/>
    </xf>
    <xf numFmtId="164" fontId="40" fillId="25" borderId="14" xfId="0" applyNumberFormat="1" applyFont="1" applyFill="1" applyBorder="1" applyAlignment="1">
      <alignment horizontal="center" vertical="center" wrapText="1"/>
    </xf>
    <xf numFmtId="0" fontId="44" fillId="23" borderId="21" xfId="0" applyFont="1" applyFill="1" applyBorder="1" applyAlignment="1">
      <alignment horizontal="center" vertical="center"/>
    </xf>
    <xf numFmtId="0" fontId="44" fillId="23" borderId="21" xfId="0" applyFont="1" applyFill="1" applyBorder="1" applyAlignment="1">
      <alignment horizontal="center" vertical="center" wrapText="1"/>
    </xf>
    <xf numFmtId="0" fontId="44" fillId="23" borderId="21" xfId="0" applyFont="1" applyFill="1" applyBorder="1" applyAlignment="1">
      <alignment horizontal="center"/>
    </xf>
    <xf numFmtId="167" fontId="40" fillId="26" borderId="21" xfId="0" applyNumberFormat="1" applyFont="1" applyFill="1" applyBorder="1" applyAlignment="1">
      <alignment horizontal="right" vertical="center" wrapText="1"/>
    </xf>
    <xf numFmtId="167" fontId="40" fillId="25" borderId="21" xfId="0" applyNumberFormat="1" applyFont="1" applyFill="1" applyBorder="1" applyAlignment="1">
      <alignment horizontal="right" vertical="center" wrapText="1"/>
    </xf>
    <xf numFmtId="4" fontId="39" fillId="27" borderId="21" xfId="0" applyNumberFormat="1" applyFont="1" applyFill="1" applyBorder="1" applyAlignment="1">
      <alignment horizontal="right" vertical="center" wrapText="1"/>
    </xf>
    <xf numFmtId="10" fontId="40" fillId="26" borderId="14" xfId="0" applyNumberFormat="1" applyFont="1" applyFill="1" applyBorder="1" applyAlignment="1">
      <alignment horizontal="center" vertical="center" wrapText="1"/>
    </xf>
    <xf numFmtId="0" fontId="53" fillId="23" borderId="14" xfId="0" applyFont="1" applyFill="1" applyBorder="1" applyAlignment="1">
      <alignment horizontal="center" vertical="center" wrapText="1"/>
    </xf>
    <xf numFmtId="10" fontId="54" fillId="25" borderId="14" xfId="0" applyNumberFormat="1" applyFont="1" applyFill="1" applyBorder="1" applyAlignment="1">
      <alignment horizontal="center" vertical="center" wrapText="1"/>
    </xf>
    <xf numFmtId="167" fontId="54" fillId="25" borderId="14" xfId="0" applyNumberFormat="1" applyFont="1" applyFill="1" applyBorder="1" applyAlignment="1">
      <alignment horizontal="right" vertical="center" wrapText="1"/>
    </xf>
    <xf numFmtId="10" fontId="54" fillId="26" borderId="14" xfId="0" applyNumberFormat="1" applyFont="1" applyFill="1" applyBorder="1" applyAlignment="1">
      <alignment horizontal="center" vertical="center" wrapText="1"/>
    </xf>
    <xf numFmtId="167" fontId="54" fillId="26" borderId="14" xfId="0" applyNumberFormat="1" applyFont="1" applyFill="1" applyBorder="1" applyAlignment="1">
      <alignment horizontal="right" vertical="center" wrapText="1"/>
    </xf>
    <xf numFmtId="167" fontId="39" fillId="27" borderId="14" xfId="0" applyNumberFormat="1" applyFont="1" applyFill="1" applyBorder="1" applyAlignment="1">
      <alignment horizontal="right" vertical="center" wrapText="1"/>
    </xf>
    <xf numFmtId="167" fontId="39" fillId="27" borderId="22" xfId="0" applyNumberFormat="1" applyFont="1" applyFill="1" applyBorder="1" applyAlignment="1">
      <alignment horizontal="right" vertical="center" wrapText="1"/>
    </xf>
    <xf numFmtId="2" fontId="0" fillId="11" borderId="1" xfId="0" applyNumberFormat="1" applyFill="1" applyBorder="1" applyAlignment="1">
      <alignment horizontal="center" vertical="center" wrapText="1"/>
    </xf>
    <xf numFmtId="0" fontId="18" fillId="8" borderId="0" xfId="3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4" fillId="6" borderId="8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4" fillId="6" borderId="5" xfId="0" applyNumberFormat="1" applyFont="1" applyFill="1" applyBorder="1" applyAlignment="1">
      <alignment horizontal="center" vertical="center" wrapText="1"/>
    </xf>
    <xf numFmtId="165" fontId="4" fillId="6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 readingOrder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7" borderId="2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25" fillId="0" borderId="1" xfId="3" applyFont="1" applyBorder="1" applyAlignment="1">
      <alignment horizontal="center" vertical="center"/>
    </xf>
    <xf numFmtId="0" fontId="29" fillId="0" borderId="1" xfId="3" applyFont="1" applyBorder="1" applyAlignment="1">
      <alignment wrapText="1"/>
    </xf>
    <xf numFmtId="10" fontId="29" fillId="9" borderId="1" xfId="3" applyNumberFormat="1" applyFont="1" applyFill="1" applyBorder="1" applyAlignment="1">
      <alignment horizontal="center"/>
    </xf>
    <xf numFmtId="0" fontId="1" fillId="0" borderId="1" xfId="3" applyFont="1" applyBorder="1" applyAlignment="1">
      <alignment horizontal="right" wrapText="1"/>
    </xf>
    <xf numFmtId="0" fontId="18" fillId="8" borderId="0" xfId="3" applyFill="1" applyAlignment="1">
      <alignment horizontal="center"/>
    </xf>
    <xf numFmtId="0" fontId="25" fillId="8" borderId="0" xfId="3" applyFont="1" applyFill="1" applyAlignment="1">
      <alignment horizontal="center"/>
    </xf>
    <xf numFmtId="0" fontId="1" fillId="0" borderId="0" xfId="3" applyFont="1" applyAlignment="1">
      <alignment horizontal="center"/>
    </xf>
    <xf numFmtId="0" fontId="28" fillId="0" borderId="0" xfId="3" applyFont="1" applyAlignment="1">
      <alignment horizontal="center"/>
    </xf>
    <xf numFmtId="0" fontId="30" fillId="9" borderId="0" xfId="3" applyFont="1" applyFill="1" applyAlignment="1">
      <alignment horizontal="center" wrapText="1"/>
    </xf>
    <xf numFmtId="0" fontId="27" fillId="0" borderId="0" xfId="3" applyFont="1" applyAlignment="1">
      <alignment horizontal="left"/>
    </xf>
    <xf numFmtId="0" fontId="1" fillId="0" borderId="1" xfId="3" applyFont="1" applyBorder="1"/>
    <xf numFmtId="0" fontId="29" fillId="8" borderId="1" xfId="3" applyFont="1" applyFill="1" applyBorder="1"/>
    <xf numFmtId="0" fontId="29" fillId="0" borderId="2" xfId="3" applyFont="1" applyBorder="1" applyAlignment="1">
      <alignment horizontal="center"/>
    </xf>
    <xf numFmtId="0" fontId="29" fillId="0" borderId="4" xfId="3" applyFont="1" applyBorder="1" applyAlignment="1">
      <alignment horizontal="center"/>
    </xf>
    <xf numFmtId="0" fontId="29" fillId="0" borderId="3" xfId="3" applyFont="1" applyBorder="1" applyAlignment="1">
      <alignment horizontal="center"/>
    </xf>
    <xf numFmtId="0" fontId="1" fillId="0" borderId="1" xfId="3" applyFont="1" applyBorder="1" applyAlignment="1">
      <alignment horizontal="center"/>
    </xf>
    <xf numFmtId="10" fontId="1" fillId="0" borderId="2" xfId="3" applyNumberFormat="1" applyFont="1" applyBorder="1" applyAlignment="1">
      <alignment horizontal="center" vertical="center"/>
    </xf>
    <xf numFmtId="10" fontId="1" fillId="0" borderId="3" xfId="3" applyNumberFormat="1" applyFont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29" fillId="0" borderId="1" xfId="3" applyFont="1" applyBorder="1" applyAlignment="1">
      <alignment horizontal="center"/>
    </xf>
    <xf numFmtId="0" fontId="29" fillId="0" borderId="1" xfId="3" applyFont="1" applyBorder="1"/>
    <xf numFmtId="0" fontId="40" fillId="16" borderId="14" xfId="0" applyFont="1" applyFill="1" applyBorder="1" applyAlignment="1">
      <alignment horizontal="left"/>
    </xf>
    <xf numFmtId="0" fontId="48" fillId="16" borderId="14" xfId="0" applyFont="1" applyFill="1" applyBorder="1" applyAlignment="1">
      <alignment horizontal="left"/>
    </xf>
    <xf numFmtId="0" fontId="48" fillId="22" borderId="14" xfId="0" applyFont="1" applyFill="1" applyBorder="1" applyAlignment="1">
      <alignment horizontal="left"/>
    </xf>
    <xf numFmtId="0" fontId="49" fillId="18" borderId="0" xfId="0" applyFont="1" applyFill="1" applyAlignment="1">
      <alignment horizontal="center"/>
    </xf>
    <xf numFmtId="0" fontId="44" fillId="23" borderId="18" xfId="0" applyFont="1" applyFill="1" applyBorder="1" applyAlignment="1">
      <alignment horizontal="left"/>
    </xf>
    <xf numFmtId="0" fontId="40" fillId="16" borderId="14" xfId="0" applyFont="1" applyFill="1" applyBorder="1" applyAlignment="1">
      <alignment horizontal="center"/>
    </xf>
    <xf numFmtId="0" fontId="40" fillId="22" borderId="14" xfId="0" applyFont="1" applyFill="1" applyBorder="1" applyAlignment="1">
      <alignment horizontal="left"/>
    </xf>
    <xf numFmtId="0" fontId="40" fillId="22" borderId="14" xfId="0" applyFont="1" applyFill="1" applyBorder="1" applyAlignment="1">
      <alignment horizontal="right"/>
    </xf>
    <xf numFmtId="0" fontId="50" fillId="0" borderId="0" xfId="0" applyFont="1" applyAlignment="1">
      <alignment horizontal="center"/>
    </xf>
    <xf numFmtId="0" fontId="40" fillId="22" borderId="14" xfId="0" applyFont="1" applyFill="1" applyBorder="1" applyAlignment="1">
      <alignment horizontal="center" vertical="center"/>
    </xf>
    <xf numFmtId="0" fontId="40" fillId="22" borderId="14" xfId="0" applyFont="1" applyFill="1" applyBorder="1" applyAlignment="1">
      <alignment horizontal="left" vertical="center" wrapText="1"/>
    </xf>
    <xf numFmtId="0" fontId="40" fillId="22" borderId="14" xfId="0" applyFont="1" applyFill="1" applyBorder="1" applyAlignment="1">
      <alignment horizontal="left" vertical="center"/>
    </xf>
    <xf numFmtId="0" fontId="40" fillId="16" borderId="14" xfId="0" applyFont="1" applyFill="1" applyBorder="1" applyAlignment="1">
      <alignment horizontal="left" vertical="center"/>
    </xf>
    <xf numFmtId="0" fontId="40" fillId="16" borderId="14" xfId="0" applyFont="1" applyFill="1" applyBorder="1" applyAlignment="1">
      <alignment horizontal="center" vertical="center"/>
    </xf>
    <xf numFmtId="0" fontId="40" fillId="22" borderId="14" xfId="0" applyFont="1" applyFill="1" applyBorder="1" applyAlignment="1">
      <alignment horizontal="center"/>
    </xf>
    <xf numFmtId="0" fontId="51" fillId="18" borderId="19" xfId="0" applyFont="1" applyFill="1" applyBorder="1" applyAlignment="1">
      <alignment horizontal="center" vertical="center"/>
    </xf>
    <xf numFmtId="0" fontId="44" fillId="24" borderId="17" xfId="0" applyFont="1" applyFill="1" applyBorder="1" applyAlignment="1">
      <alignment horizontal="left" vertical="center"/>
    </xf>
    <xf numFmtId="0" fontId="44" fillId="24" borderId="20" xfId="0" applyFont="1" applyFill="1" applyBorder="1" applyAlignment="1">
      <alignment horizontal="left" vertical="center"/>
    </xf>
    <xf numFmtId="0" fontId="44" fillId="24" borderId="16" xfId="0" applyFont="1" applyFill="1" applyBorder="1" applyAlignment="1">
      <alignment horizontal="left" vertical="center"/>
    </xf>
    <xf numFmtId="0" fontId="44" fillId="24" borderId="14" xfId="0" applyFont="1" applyFill="1" applyBorder="1" applyAlignment="1">
      <alignment horizontal="left" vertical="center" wrapText="1"/>
    </xf>
    <xf numFmtId="167" fontId="40" fillId="16" borderId="14" xfId="0" applyNumberFormat="1" applyFont="1" applyFill="1" applyBorder="1" applyAlignment="1">
      <alignment horizontal="left" vertical="center" wrapText="1"/>
    </xf>
    <xf numFmtId="0" fontId="39" fillId="18" borderId="0" xfId="0" applyFont="1" applyFill="1" applyAlignment="1">
      <alignment horizontal="justify" vertical="center" wrapText="1"/>
    </xf>
    <xf numFmtId="0" fontId="40" fillId="16" borderId="14" xfId="0" applyFont="1" applyFill="1" applyBorder="1" applyAlignment="1">
      <alignment horizontal="left" wrapText="1"/>
    </xf>
    <xf numFmtId="0" fontId="40" fillId="16" borderId="14" xfId="0" applyFont="1" applyFill="1" applyBorder="1" applyAlignment="1">
      <alignment horizontal="left" vertical="center" wrapText="1"/>
    </xf>
    <xf numFmtId="167" fontId="40" fillId="22" borderId="14" xfId="0" applyNumberFormat="1" applyFont="1" applyFill="1" applyBorder="1" applyAlignment="1">
      <alignment horizontal="left" vertical="center" wrapText="1"/>
    </xf>
    <xf numFmtId="0" fontId="44" fillId="24" borderId="14" xfId="0" applyFont="1" applyFill="1" applyBorder="1" applyAlignment="1">
      <alignment horizontal="left" vertical="center"/>
    </xf>
    <xf numFmtId="0" fontId="44" fillId="24" borderId="14" xfId="0" applyFont="1" applyFill="1" applyBorder="1" applyAlignment="1">
      <alignment horizontal="justify" vertical="center" wrapText="1"/>
    </xf>
    <xf numFmtId="0" fontId="40" fillId="16" borderId="14" xfId="0" applyFont="1" applyFill="1" applyBorder="1" applyAlignment="1">
      <alignment horizontal="justify" vertical="center"/>
    </xf>
    <xf numFmtId="0" fontId="40" fillId="22" borderId="14" xfId="0" applyFont="1" applyFill="1" applyBorder="1" applyAlignment="1">
      <alignment horizontal="justify" vertical="center"/>
    </xf>
    <xf numFmtId="0" fontId="40" fillId="22" borderId="21" xfId="0" applyFont="1" applyFill="1" applyBorder="1" applyAlignment="1">
      <alignment horizontal="left" vertical="center" wrapText="1"/>
    </xf>
    <xf numFmtId="4" fontId="40" fillId="22" borderId="14" xfId="0" applyNumberFormat="1" applyFont="1" applyFill="1" applyBorder="1" applyAlignment="1">
      <alignment horizontal="left" vertical="center" wrapText="1"/>
    </xf>
    <xf numFmtId="0" fontId="44" fillId="24" borderId="21" xfId="0" applyFont="1" applyFill="1" applyBorder="1" applyAlignment="1">
      <alignment horizontal="left" vertical="center" wrapText="1"/>
    </xf>
    <xf numFmtId="0" fontId="40" fillId="16" borderId="21" xfId="0" applyFont="1" applyFill="1" applyBorder="1" applyAlignment="1">
      <alignment horizontal="left" vertical="center" wrapText="1"/>
    </xf>
    <xf numFmtId="4" fontId="40" fillId="22" borderId="21" xfId="0" applyNumberFormat="1" applyFont="1" applyFill="1" applyBorder="1" applyAlignment="1">
      <alignment horizontal="left" vertical="center" wrapText="1"/>
    </xf>
    <xf numFmtId="0" fontId="39" fillId="18" borderId="0" xfId="0" applyFont="1" applyFill="1" applyAlignment="1">
      <alignment horizontal="left" wrapText="1"/>
    </xf>
    <xf numFmtId="0" fontId="54" fillId="22" borderId="14" xfId="0" applyFont="1" applyFill="1" applyBorder="1" applyAlignment="1">
      <alignment horizontal="left" vertical="center" wrapText="1" indent="1"/>
    </xf>
    <xf numFmtId="0" fontId="54" fillId="16" borderId="14" xfId="0" applyFont="1" applyFill="1" applyBorder="1" applyAlignment="1">
      <alignment horizontal="left" vertical="center" wrapText="1" indent="1"/>
    </xf>
    <xf numFmtId="0" fontId="44" fillId="24" borderId="22" xfId="0" applyFont="1" applyFill="1" applyBorder="1" applyAlignment="1">
      <alignment horizontal="left" vertical="center" wrapText="1"/>
    </xf>
    <xf numFmtId="0" fontId="44" fillId="18" borderId="0" xfId="0" applyFont="1" applyFill="1" applyAlignment="1">
      <alignment horizontal="left" vertical="center" wrapText="1"/>
    </xf>
    <xf numFmtId="0" fontId="48" fillId="16" borderId="17" xfId="0" applyFont="1" applyFill="1" applyBorder="1" applyAlignment="1">
      <alignment horizontal="left"/>
    </xf>
    <xf numFmtId="0" fontId="48" fillId="16" borderId="20" xfId="0" applyFont="1" applyFill="1" applyBorder="1" applyAlignment="1">
      <alignment horizontal="left"/>
    </xf>
    <xf numFmtId="0" fontId="48" fillId="16" borderId="16" xfId="0" applyFont="1" applyFill="1" applyBorder="1" applyAlignment="1">
      <alignment horizontal="left"/>
    </xf>
    <xf numFmtId="167" fontId="40" fillId="22" borderId="17" xfId="0" applyNumberFormat="1" applyFont="1" applyFill="1" applyBorder="1" applyAlignment="1">
      <alignment horizontal="left" vertical="center" wrapText="1"/>
    </xf>
    <xf numFmtId="167" fontId="40" fillId="22" borderId="20" xfId="0" applyNumberFormat="1" applyFont="1" applyFill="1" applyBorder="1" applyAlignment="1">
      <alignment horizontal="left" vertical="center" wrapText="1"/>
    </xf>
    <xf numFmtId="167" fontId="40" fillId="22" borderId="16" xfId="0" applyNumberFormat="1" applyFont="1" applyFill="1" applyBorder="1" applyAlignment="1">
      <alignment horizontal="left" vertical="center" wrapText="1"/>
    </xf>
    <xf numFmtId="0" fontId="44" fillId="23" borderId="17" xfId="0" applyFont="1" applyFill="1" applyBorder="1" applyAlignment="1">
      <alignment horizontal="left" vertical="center"/>
    </xf>
    <xf numFmtId="0" fontId="44" fillId="23" borderId="20" xfId="0" applyFont="1" applyFill="1" applyBorder="1" applyAlignment="1">
      <alignment horizontal="left" vertical="center"/>
    </xf>
    <xf numFmtId="0" fontId="44" fillId="23" borderId="16" xfId="0" applyFont="1" applyFill="1" applyBorder="1" applyAlignment="1">
      <alignment horizontal="left" vertical="center"/>
    </xf>
    <xf numFmtId="0" fontId="44" fillId="23" borderId="17" xfId="0" applyFont="1" applyFill="1" applyBorder="1" applyAlignment="1">
      <alignment horizontal="left" vertical="center" wrapText="1"/>
    </xf>
    <xf numFmtId="0" fontId="44" fillId="23" borderId="20" xfId="0" applyFont="1" applyFill="1" applyBorder="1" applyAlignment="1">
      <alignment horizontal="left" vertical="center" wrapText="1"/>
    </xf>
    <xf numFmtId="0" fontId="44" fillId="23" borderId="16" xfId="0" applyFont="1" applyFill="1" applyBorder="1" applyAlignment="1">
      <alignment horizontal="left" vertical="center" wrapText="1"/>
    </xf>
    <xf numFmtId="167" fontId="40" fillId="16" borderId="17" xfId="0" applyNumberFormat="1" applyFont="1" applyFill="1" applyBorder="1" applyAlignment="1">
      <alignment horizontal="left" vertical="center" wrapText="1"/>
    </xf>
    <xf numFmtId="167" fontId="40" fillId="16" borderId="20" xfId="0" applyNumberFormat="1" applyFont="1" applyFill="1" applyBorder="1" applyAlignment="1">
      <alignment horizontal="left" vertical="center" wrapText="1"/>
    </xf>
    <xf numFmtId="167" fontId="40" fillId="16" borderId="16" xfId="0" applyNumberFormat="1" applyFont="1" applyFill="1" applyBorder="1" applyAlignment="1">
      <alignment horizontal="left" vertical="center" wrapText="1"/>
    </xf>
    <xf numFmtId="0" fontId="40" fillId="22" borderId="17" xfId="0" applyFont="1" applyFill="1" applyBorder="1" applyAlignment="1">
      <alignment horizontal="left" vertical="center" wrapText="1"/>
    </xf>
    <xf numFmtId="0" fontId="40" fillId="22" borderId="20" xfId="0" applyFont="1" applyFill="1" applyBorder="1" applyAlignment="1">
      <alignment horizontal="left" vertical="center" wrapText="1"/>
    </xf>
    <xf numFmtId="0" fontId="40" fillId="22" borderId="16" xfId="0" applyFont="1" applyFill="1" applyBorder="1" applyAlignment="1">
      <alignment horizontal="left" vertical="center" wrapText="1"/>
    </xf>
    <xf numFmtId="0" fontId="40" fillId="16" borderId="17" xfId="0" applyFont="1" applyFill="1" applyBorder="1" applyAlignment="1">
      <alignment horizontal="left" wrapText="1"/>
    </xf>
    <xf numFmtId="0" fontId="40" fillId="16" borderId="20" xfId="0" applyFont="1" applyFill="1" applyBorder="1" applyAlignment="1">
      <alignment horizontal="left" wrapText="1"/>
    </xf>
    <xf numFmtId="0" fontId="40" fillId="16" borderId="16" xfId="0" applyFont="1" applyFill="1" applyBorder="1" applyAlignment="1">
      <alignment horizontal="left" wrapText="1"/>
    </xf>
    <xf numFmtId="0" fontId="40" fillId="16" borderId="17" xfId="0" applyFont="1" applyFill="1" applyBorder="1" applyAlignment="1">
      <alignment horizontal="left" vertical="center" wrapText="1"/>
    </xf>
    <xf numFmtId="0" fontId="40" fillId="16" borderId="20" xfId="0" applyFont="1" applyFill="1" applyBorder="1" applyAlignment="1">
      <alignment horizontal="left" vertical="center" wrapText="1"/>
    </xf>
    <xf numFmtId="0" fontId="40" fillId="16" borderId="16" xfId="0" applyFont="1" applyFill="1" applyBorder="1" applyAlignment="1">
      <alignment horizontal="left" vertical="center" wrapText="1"/>
    </xf>
    <xf numFmtId="0" fontId="44" fillId="23" borderId="14" xfId="0" applyFont="1" applyFill="1" applyBorder="1" applyAlignment="1">
      <alignment horizontal="left" vertical="center" wrapText="1"/>
    </xf>
    <xf numFmtId="0" fontId="44" fillId="23" borderId="14" xfId="0" applyFont="1" applyFill="1" applyBorder="1" applyAlignment="1">
      <alignment horizontal="left" vertical="center"/>
    </xf>
    <xf numFmtId="0" fontId="44" fillId="23" borderId="14" xfId="0" applyFont="1" applyFill="1" applyBorder="1" applyAlignment="1">
      <alignment horizontal="justify" vertical="center" wrapText="1"/>
    </xf>
    <xf numFmtId="0" fontId="44" fillId="23" borderId="21" xfId="0" applyFont="1" applyFill="1" applyBorder="1" applyAlignment="1">
      <alignment horizontal="left" vertical="center" wrapText="1"/>
    </xf>
    <xf numFmtId="0" fontId="44" fillId="23" borderId="22" xfId="0" applyFont="1" applyFill="1" applyBorder="1" applyAlignment="1">
      <alignment horizontal="left" vertical="center" wrapText="1"/>
    </xf>
    <xf numFmtId="166" fontId="39" fillId="14" borderId="14" xfId="0" applyNumberFormat="1" applyFont="1" applyFill="1" applyBorder="1" applyAlignment="1">
      <alignment horizontal="center" vertical="center"/>
    </xf>
    <xf numFmtId="165" fontId="39" fillId="14" borderId="14" xfId="0" applyNumberFormat="1" applyFont="1" applyFill="1" applyBorder="1" applyAlignment="1">
      <alignment horizontal="center" vertical="center"/>
    </xf>
    <xf numFmtId="0" fontId="36" fillId="0" borderId="0" xfId="4" applyFont="1" applyAlignment="1">
      <alignment horizontal="center" vertical="center"/>
    </xf>
    <xf numFmtId="0" fontId="34" fillId="10" borderId="12" xfId="4" applyFont="1" applyFill="1" applyBorder="1" applyAlignment="1">
      <alignment horizontal="center" vertical="center"/>
    </xf>
    <xf numFmtId="0" fontId="40" fillId="20" borderId="14" xfId="0" applyFont="1" applyFill="1" applyBorder="1" applyAlignment="1">
      <alignment horizontal="left" vertical="center" wrapText="1"/>
    </xf>
    <xf numFmtId="0" fontId="44" fillId="19" borderId="14" xfId="0" applyFont="1" applyFill="1" applyBorder="1" applyAlignment="1">
      <alignment horizontal="left" vertical="center"/>
    </xf>
    <xf numFmtId="0" fontId="40" fillId="21" borderId="14" xfId="0" applyFont="1" applyFill="1" applyBorder="1" applyAlignment="1">
      <alignment horizontal="left" vertical="center" wrapText="1"/>
    </xf>
    <xf numFmtId="0" fontId="43" fillId="18" borderId="15" xfId="0" applyFont="1" applyFill="1" applyBorder="1" applyAlignment="1">
      <alignment horizontal="left" vertical="center" wrapText="1"/>
    </xf>
    <xf numFmtId="0" fontId="44" fillId="19" borderId="14" xfId="0" applyFont="1" applyFill="1" applyBorder="1" applyAlignment="1">
      <alignment horizontal="justify" vertical="center" wrapText="1"/>
    </xf>
    <xf numFmtId="0" fontId="40" fillId="20" borderId="14" xfId="0" applyFont="1" applyFill="1" applyBorder="1" applyAlignment="1">
      <alignment horizontal="justify" vertical="center"/>
    </xf>
    <xf numFmtId="0" fontId="40" fillId="21" borderId="14" xfId="0" applyFont="1" applyFill="1" applyBorder="1" applyAlignment="1">
      <alignment horizontal="justify" vertical="center"/>
    </xf>
    <xf numFmtId="0" fontId="40" fillId="18" borderId="0" xfId="0" applyFont="1" applyFill="1" applyAlignment="1">
      <alignment horizontal="justify" vertical="center" wrapText="1"/>
    </xf>
    <xf numFmtId="0" fontId="44" fillId="19" borderId="14" xfId="0" applyFont="1" applyFill="1" applyBorder="1" applyAlignment="1">
      <alignment horizontal="left" vertical="center" wrapText="1"/>
    </xf>
    <xf numFmtId="167" fontId="40" fillId="21" borderId="14" xfId="0" applyNumberFormat="1" applyFont="1" applyFill="1" applyBorder="1" applyAlignment="1">
      <alignment horizontal="left" vertical="center" wrapText="1"/>
    </xf>
    <xf numFmtId="0" fontId="40" fillId="21" borderId="14" xfId="0" applyFont="1" applyFill="1" applyBorder="1" applyAlignment="1">
      <alignment horizontal="left"/>
    </xf>
    <xf numFmtId="0" fontId="40" fillId="21" borderId="14" xfId="0" applyFont="1" applyFill="1" applyBorder="1" applyAlignment="1">
      <alignment horizontal="left" vertical="center"/>
    </xf>
    <xf numFmtId="167" fontId="40" fillId="20" borderId="14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0" fontId="40" fillId="28" borderId="14" xfId="0" applyNumberFormat="1" applyFont="1" applyFill="1" applyBorder="1" applyAlignment="1">
      <alignment horizontal="center" vertical="center" wrapText="1"/>
    </xf>
    <xf numFmtId="10" fontId="40" fillId="29" borderId="18" xfId="0" applyNumberFormat="1" applyFont="1" applyFill="1" applyBorder="1" applyAlignment="1">
      <alignment horizontal="center" vertical="center"/>
    </xf>
  </cellXfs>
  <cellStyles count="6">
    <cellStyle name="Moeda" xfId="2" builtinId="4"/>
    <cellStyle name="Normal" xfId="0" builtinId="0"/>
    <cellStyle name="Normal 2" xfId="3" xr:uid="{0EFE125B-ED75-4983-9B66-A3A6DF7B5829}"/>
    <cellStyle name="Normal 3" xfId="4" xr:uid="{12FFDB0F-9605-41C1-860B-A48425751DCD}"/>
    <cellStyle name="Porcentagem" xfId="5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A776D7C7-1F3D-46A7-A48A-2983CE2E577E}"/>
            </a:ext>
          </a:extLst>
        </xdr:cNvPr>
        <xdr:cNvSpPr/>
      </xdr:nvSpPr>
      <xdr:spPr>
        <a:xfrm>
          <a:off x="0" y="0"/>
          <a:ext cx="1082625" cy="3044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EA5086A-852B-49F3-A215-41190311FC0B}"/>
            </a:ext>
          </a:extLst>
        </xdr:cNvPr>
        <xdr:cNvSpPr/>
      </xdr:nvSpPr>
      <xdr:spPr>
        <a:xfrm>
          <a:off x="0" y="0"/>
          <a:ext cx="1082625" cy="3044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3CFBF731-391D-4D81-BD51-E3190E0388BB}"/>
            </a:ext>
          </a:extLst>
        </xdr:cNvPr>
        <xdr:cNvSpPr/>
      </xdr:nvSpPr>
      <xdr:spPr>
        <a:xfrm>
          <a:off x="1924410" y="1133835"/>
          <a:ext cx="323640" cy="3044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2E0F1F6-637D-4E54-85CF-0D659055BA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24020" y="114480"/>
          <a:ext cx="0" cy="6383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M-Altamira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Oficial de Manutenção"/>
      <sheetName val="Auxiliar de manutenção predial "/>
      <sheetName val="Eletricista  de manutenção elet"/>
      <sheetName val="Auxiliar_de_Manuten__o_predia_2"/>
      <sheetName val="Encarregado de Manutençã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/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1">
          <cell r="F61"/>
        </row>
        <row r="62">
          <cell r="F62"/>
        </row>
        <row r="63">
          <cell r="C63" t="str">
            <v>Outros (Especificar)</v>
          </cell>
          <cell r="F63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/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Oficial de Manutenção-Estimado"/>
      <sheetName val="Oficial de Manutenção"/>
      <sheetName val="Uniforme"/>
      <sheetName val="Materiais de Reposição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20">
          <cell r="E20">
            <v>0.29105124999999998</v>
          </cell>
        </row>
        <row r="22">
          <cell r="E22">
            <v>0.04</v>
          </cell>
        </row>
        <row r="26">
          <cell r="E26">
            <v>8.3333333333333321</v>
          </cell>
        </row>
        <row r="27">
          <cell r="E27">
            <v>2.2222222222222223</v>
          </cell>
        </row>
        <row r="28">
          <cell r="E28">
            <v>3.5673555555555549E-2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8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77FA6-6BC9-4EC5-A615-CAB726C927F5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8" sqref="A8:J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01" t="s">
        <v>25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64" ht="18" customHeight="1">
      <c r="A2" s="201"/>
      <c r="B2" s="201"/>
      <c r="C2" s="201"/>
      <c r="D2" s="201"/>
      <c r="E2" s="201"/>
      <c r="F2" s="201"/>
      <c r="G2" s="201"/>
      <c r="H2" s="201"/>
      <c r="I2" s="201"/>
      <c r="J2" s="201"/>
    </row>
    <row r="4" spans="1:64" ht="18">
      <c r="A4" s="202" t="s">
        <v>312</v>
      </c>
      <c r="B4" s="202"/>
      <c r="C4" s="202"/>
      <c r="D4" s="202"/>
      <c r="E4" s="202"/>
      <c r="F4" s="202"/>
      <c r="G4" s="202"/>
      <c r="H4" s="202"/>
      <c r="I4" s="202"/>
      <c r="J4" s="202"/>
    </row>
    <row r="8" spans="1:64" ht="36" customHeight="1">
      <c r="A8" s="200" t="s">
        <v>24</v>
      </c>
      <c r="B8" s="200"/>
      <c r="C8" s="200"/>
      <c r="D8" s="200"/>
      <c r="E8" s="200"/>
      <c r="F8" s="200"/>
      <c r="G8" s="200"/>
      <c r="H8" s="200"/>
      <c r="I8" s="200"/>
      <c r="J8" s="200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200" t="s">
        <v>0</v>
      </c>
      <c r="C10" s="200"/>
      <c r="D10" s="200"/>
      <c r="E10" s="200"/>
      <c r="F10" s="200"/>
      <c r="G10" s="200"/>
      <c r="H10" s="200"/>
      <c r="I10" s="200"/>
      <c r="J10" s="200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200" t="s">
        <v>1</v>
      </c>
      <c r="C12" s="200"/>
      <c r="D12" s="200"/>
      <c r="E12" s="200"/>
      <c r="F12" s="200"/>
      <c r="G12" s="200"/>
      <c r="H12" s="200"/>
      <c r="I12" s="200"/>
      <c r="J12" s="200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200" t="s">
        <v>2</v>
      </c>
      <c r="C14" s="200"/>
      <c r="D14" s="200"/>
      <c r="E14" s="200"/>
      <c r="F14" s="200"/>
      <c r="G14" s="200"/>
      <c r="H14" s="200"/>
      <c r="I14" s="200"/>
      <c r="J14" s="200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200" t="s">
        <v>26</v>
      </c>
      <c r="C16" s="200"/>
      <c r="D16" s="200"/>
      <c r="E16" s="200"/>
      <c r="F16" s="200"/>
      <c r="G16" s="200"/>
      <c r="H16" s="200"/>
      <c r="I16" s="200"/>
      <c r="J16" s="200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200" t="s">
        <v>3</v>
      </c>
      <c r="C18" s="200"/>
      <c r="D18" s="200"/>
      <c r="E18" s="200"/>
      <c r="F18" s="200"/>
      <c r="G18" s="200"/>
      <c r="H18" s="200"/>
      <c r="I18" s="200"/>
      <c r="J18" s="200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200" t="s">
        <v>317</v>
      </c>
      <c r="C20" s="200"/>
      <c r="D20" s="200"/>
      <c r="E20" s="200"/>
      <c r="F20" s="200"/>
      <c r="G20" s="200"/>
      <c r="H20" s="200"/>
      <c r="I20" s="200"/>
      <c r="J20" s="200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200" t="s">
        <v>318</v>
      </c>
      <c r="C22" s="200"/>
      <c r="D22" s="200"/>
      <c r="E22" s="200"/>
      <c r="F22" s="200"/>
      <c r="G22" s="200"/>
      <c r="H22" s="200"/>
      <c r="I22" s="200"/>
      <c r="J22" s="200"/>
    </row>
    <row r="24" spans="1:10" ht="27.75" customHeight="1">
      <c r="A24" s="7">
        <v>8</v>
      </c>
      <c r="B24" s="200" t="s">
        <v>316</v>
      </c>
      <c r="C24" s="200"/>
      <c r="D24" s="200"/>
      <c r="E24" s="200"/>
      <c r="F24" s="200"/>
      <c r="G24" s="200"/>
      <c r="H24" s="200"/>
      <c r="I24" s="200"/>
      <c r="J24" s="200"/>
    </row>
    <row r="25" spans="1:10" ht="10.5" customHeight="1"/>
    <row r="26" spans="1:10" ht="26.25" customHeight="1">
      <c r="A26" s="7">
        <v>9</v>
      </c>
      <c r="B26" s="200" t="s">
        <v>315</v>
      </c>
      <c r="C26" s="200"/>
      <c r="D26" s="200"/>
      <c r="E26" s="200"/>
      <c r="F26" s="200"/>
      <c r="G26" s="200"/>
      <c r="H26" s="200"/>
      <c r="I26" s="200"/>
      <c r="J26" s="200"/>
    </row>
    <row r="27" spans="1:10" ht="14.25" customHeight="1"/>
    <row r="28" spans="1:10" ht="39.75" customHeight="1">
      <c r="A28" s="7">
        <v>10</v>
      </c>
      <c r="B28" s="200" t="s">
        <v>314</v>
      </c>
      <c r="C28" s="200"/>
      <c r="D28" s="200"/>
      <c r="E28" s="200"/>
      <c r="F28" s="200"/>
      <c r="G28" s="200"/>
      <c r="H28" s="200"/>
      <c r="I28" s="200"/>
      <c r="J28" s="200"/>
    </row>
    <row r="30" spans="1:10">
      <c r="A30" s="7">
        <v>11</v>
      </c>
      <c r="B30" s="200" t="s">
        <v>491</v>
      </c>
      <c r="C30" s="200"/>
      <c r="D30" s="200"/>
      <c r="E30" s="200"/>
      <c r="F30" s="200"/>
      <c r="G30" s="200"/>
      <c r="H30" s="200"/>
      <c r="I30" s="200"/>
      <c r="J30" s="200"/>
    </row>
    <row r="32" spans="1:10" ht="30" customHeight="1">
      <c r="A32" s="7">
        <v>12</v>
      </c>
      <c r="B32" s="200" t="s">
        <v>492</v>
      </c>
      <c r="C32" s="200"/>
      <c r="D32" s="200"/>
      <c r="E32" s="200"/>
      <c r="F32" s="200"/>
      <c r="G32" s="200"/>
      <c r="H32" s="200"/>
      <c r="I32" s="200"/>
      <c r="J32" s="200"/>
    </row>
    <row r="34" spans="1:10" ht="35.25" customHeight="1">
      <c r="A34" s="7">
        <v>13</v>
      </c>
      <c r="B34" s="355" t="s">
        <v>493</v>
      </c>
      <c r="C34" s="355"/>
      <c r="D34" s="355"/>
      <c r="E34" s="355"/>
      <c r="F34" s="355"/>
      <c r="G34" s="355"/>
      <c r="H34" s="355"/>
      <c r="I34" s="355"/>
      <c r="J34" s="355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A1:J2"/>
    <mergeCell ref="A4:J4"/>
    <mergeCell ref="A8:J8"/>
    <mergeCell ref="B10:J10"/>
    <mergeCell ref="B12:J12"/>
    <mergeCell ref="B14:J14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1"/>
  <sheetViews>
    <sheetView showGridLines="0" view="pageBreakPreview" zoomScale="120" zoomScaleNormal="120" zoomScaleSheetLayoutView="120" zoomScalePageLayoutView="90" workbookViewId="0">
      <selection activeCell="D51" sqref="D51:E51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13" t="s">
        <v>27</v>
      </c>
      <c r="B2" s="213"/>
      <c r="C2" s="213"/>
      <c r="D2" s="213"/>
      <c r="E2" s="213"/>
      <c r="F2" s="213"/>
      <c r="G2" s="213"/>
      <c r="H2" s="213"/>
      <c r="I2" s="213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213" t="s">
        <v>312</v>
      </c>
      <c r="B4" s="213"/>
      <c r="C4" s="213"/>
      <c r="D4" s="213"/>
      <c r="E4" s="213"/>
      <c r="F4" s="213"/>
      <c r="G4" s="213"/>
      <c r="H4" s="213"/>
      <c r="I4" s="213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214" t="s">
        <v>4</v>
      </c>
      <c r="B6" s="214"/>
      <c r="C6" s="214"/>
      <c r="D6" s="214"/>
      <c r="E6" s="214"/>
      <c r="F6" s="214"/>
      <c r="G6" s="214"/>
      <c r="H6" s="214"/>
      <c r="I6" s="214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32" customHeight="1">
      <c r="A8" s="215" t="s">
        <v>38</v>
      </c>
      <c r="B8" s="215"/>
      <c r="C8" s="215"/>
      <c r="D8" s="215"/>
      <c r="E8" s="215"/>
      <c r="F8" s="215"/>
      <c r="G8" s="215"/>
      <c r="H8" s="215"/>
      <c r="I8" s="215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216" t="s">
        <v>5</v>
      </c>
      <c r="C10" s="216"/>
      <c r="D10" s="216"/>
      <c r="E10" s="216"/>
      <c r="F10" s="13"/>
      <c r="G10" s="13"/>
      <c r="H10" s="13"/>
      <c r="I10" s="13"/>
    </row>
    <row r="11" spans="1:9" ht="14.1" customHeight="1">
      <c r="A11" s="14"/>
      <c r="B11" s="203" t="s">
        <v>6</v>
      </c>
      <c r="C11" s="203"/>
      <c r="D11" s="204" t="s">
        <v>28</v>
      </c>
      <c r="E11" s="204"/>
      <c r="F11" s="14"/>
      <c r="G11" s="14"/>
      <c r="H11" s="14"/>
      <c r="I11" s="14"/>
    </row>
    <row r="12" spans="1:9" ht="14.1" customHeight="1">
      <c r="A12" s="13"/>
      <c r="B12" s="205" t="s">
        <v>7</v>
      </c>
      <c r="C12" s="205"/>
      <c r="D12" s="206" t="s">
        <v>29</v>
      </c>
      <c r="E12" s="206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207" t="s">
        <v>8</v>
      </c>
      <c r="B14" s="207"/>
      <c r="C14" s="207"/>
      <c r="D14" s="207"/>
      <c r="E14" s="207"/>
      <c r="F14" s="207"/>
      <c r="G14" s="207"/>
      <c r="H14" s="207"/>
      <c r="I14" s="207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2" t="s">
        <v>313</v>
      </c>
      <c r="B16" s="212" t="s">
        <v>30</v>
      </c>
      <c r="C16" s="212"/>
      <c r="D16" s="212"/>
      <c r="E16" s="212"/>
      <c r="F16" s="212"/>
      <c r="G16" s="212"/>
      <c r="H16" s="212"/>
      <c r="I16" s="212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209" t="s">
        <v>31</v>
      </c>
      <c r="B18" s="209"/>
      <c r="C18" s="209"/>
      <c r="D18" s="209"/>
      <c r="E18" s="31" t="s">
        <v>34</v>
      </c>
      <c r="F18" s="31" t="s">
        <v>35</v>
      </c>
      <c r="G18" s="31" t="s">
        <v>36</v>
      </c>
      <c r="H18" s="209" t="s">
        <v>37</v>
      </c>
      <c r="I18" s="209"/>
    </row>
    <row r="19" spans="1:9" ht="17.25" customHeight="1">
      <c r="A19" s="208" t="s">
        <v>32</v>
      </c>
      <c r="B19" s="208"/>
      <c r="C19" s="208"/>
      <c r="D19" s="208"/>
      <c r="E19" s="28">
        <v>8</v>
      </c>
      <c r="F19" s="28">
        <f>E19*12</f>
        <v>96</v>
      </c>
      <c r="G19" s="198"/>
      <c r="H19" s="210">
        <f>ROUNDDOWN(F19*G19,2)</f>
        <v>0</v>
      </c>
      <c r="I19" s="210"/>
    </row>
    <row r="20" spans="1:9" ht="17.25" customHeight="1">
      <c r="A20" s="208" t="s">
        <v>33</v>
      </c>
      <c r="B20" s="208"/>
      <c r="C20" s="208"/>
      <c r="D20" s="208"/>
      <c r="E20" s="28">
        <v>8</v>
      </c>
      <c r="F20" s="28">
        <f>E20*12</f>
        <v>96</v>
      </c>
      <c r="G20" s="198"/>
      <c r="H20" s="210">
        <f>ROUNDDOWN(F20*G20,2)</f>
        <v>0</v>
      </c>
      <c r="I20" s="210"/>
    </row>
    <row r="21" spans="1:9" ht="12.75" customHeight="1">
      <c r="A21" s="211" t="s">
        <v>39</v>
      </c>
      <c r="B21" s="211"/>
      <c r="C21" s="211"/>
      <c r="D21" s="211"/>
      <c r="E21" s="211"/>
      <c r="F21" s="211"/>
      <c r="G21" s="211"/>
      <c r="H21" s="224">
        <f>SUM(H19:H20)</f>
        <v>0</v>
      </c>
      <c r="I21" s="224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 ht="28.5" customHeight="1">
      <c r="A23" s="209" t="s">
        <v>40</v>
      </c>
      <c r="B23" s="209"/>
      <c r="C23" s="209"/>
      <c r="D23" s="209"/>
      <c r="E23" s="31" t="s">
        <v>43</v>
      </c>
      <c r="F23" s="31" t="s">
        <v>44</v>
      </c>
      <c r="G23" s="31" t="s">
        <v>45</v>
      </c>
      <c r="H23" s="209" t="s">
        <v>37</v>
      </c>
      <c r="I23" s="209"/>
    </row>
    <row r="24" spans="1:9" ht="27" customHeight="1" thickBot="1">
      <c r="A24" s="208" t="s">
        <v>41</v>
      </c>
      <c r="B24" s="208"/>
      <c r="C24" s="208"/>
      <c r="D24" s="208"/>
      <c r="E24" s="28">
        <v>1</v>
      </c>
      <c r="F24" s="28">
        <v>220</v>
      </c>
      <c r="G24" s="73">
        <f>'Oficial de Manutenção'!VALOR_TOTAL_EMPREGADO</f>
        <v>0</v>
      </c>
      <c r="H24" s="210">
        <f t="shared" ref="H24" si="0">G24*12</f>
        <v>0</v>
      </c>
      <c r="I24" s="210"/>
    </row>
    <row r="25" spans="1:9" ht="12.75" customHeight="1">
      <c r="A25" s="211" t="s">
        <v>46</v>
      </c>
      <c r="B25" s="211"/>
      <c r="C25" s="211"/>
      <c r="D25" s="211"/>
      <c r="E25" s="211"/>
      <c r="F25" s="211"/>
      <c r="G25" s="211"/>
      <c r="H25" s="224">
        <f>SUM(H24:I24)</f>
        <v>0</v>
      </c>
      <c r="I25" s="224"/>
    </row>
    <row r="26" spans="1:9">
      <c r="A26" s="6"/>
      <c r="B26" s="6"/>
      <c r="C26" s="6"/>
      <c r="D26" s="6"/>
      <c r="E26" s="6"/>
      <c r="F26" s="6"/>
      <c r="G26" s="6"/>
      <c r="H26" s="6"/>
      <c r="I26" s="6"/>
    </row>
    <row r="27" spans="1:9" ht="28.5" customHeight="1">
      <c r="A27" s="209" t="s">
        <v>55</v>
      </c>
      <c r="B27" s="209"/>
      <c r="C27" s="209"/>
      <c r="D27" s="209"/>
      <c r="E27" s="31" t="s">
        <v>44</v>
      </c>
      <c r="F27" s="31" t="s">
        <v>35</v>
      </c>
      <c r="G27" s="31" t="s">
        <v>36</v>
      </c>
      <c r="H27" s="209" t="s">
        <v>37</v>
      </c>
      <c r="I27" s="209"/>
    </row>
    <row r="28" spans="1:9" ht="12.75" customHeight="1">
      <c r="A28" s="208" t="s">
        <v>47</v>
      </c>
      <c r="B28" s="208"/>
      <c r="C28" s="208"/>
      <c r="D28" s="208"/>
      <c r="E28" s="28">
        <v>8</v>
      </c>
      <c r="F28" s="28">
        <f>E28*12</f>
        <v>96</v>
      </c>
      <c r="G28" s="198"/>
      <c r="H28" s="210">
        <f>ROUNDDOWN(F28*G28,2)</f>
        <v>0</v>
      </c>
      <c r="I28" s="210"/>
    </row>
    <row r="29" spans="1:9" ht="12.75" customHeight="1">
      <c r="A29" s="217" t="s">
        <v>48</v>
      </c>
      <c r="B29" s="217"/>
      <c r="C29" s="217"/>
      <c r="D29" s="217"/>
      <c r="E29" s="28">
        <v>8</v>
      </c>
      <c r="F29" s="28">
        <f t="shared" ref="F29:F36" si="1">E29*12</f>
        <v>96</v>
      </c>
      <c r="G29" s="198"/>
      <c r="H29" s="210">
        <f t="shared" ref="H29:H36" si="2">ROUNDDOWN(F29*G29,2)</f>
        <v>0</v>
      </c>
      <c r="I29" s="210"/>
    </row>
    <row r="30" spans="1:9" ht="12.75" customHeight="1">
      <c r="A30" s="217" t="s">
        <v>49</v>
      </c>
      <c r="B30" s="217"/>
      <c r="C30" s="217"/>
      <c r="D30" s="217"/>
      <c r="E30" s="28">
        <v>8</v>
      </c>
      <c r="F30" s="28">
        <f t="shared" si="1"/>
        <v>96</v>
      </c>
      <c r="G30" s="198"/>
      <c r="H30" s="210">
        <f t="shared" si="2"/>
        <v>0</v>
      </c>
      <c r="I30" s="210"/>
    </row>
    <row r="31" spans="1:9" ht="12.75" customHeight="1">
      <c r="A31" s="217" t="s">
        <v>50</v>
      </c>
      <c r="B31" s="217"/>
      <c r="C31" s="217"/>
      <c r="D31" s="217"/>
      <c r="E31" s="28">
        <v>8</v>
      </c>
      <c r="F31" s="28">
        <f t="shared" si="1"/>
        <v>96</v>
      </c>
      <c r="G31" s="198"/>
      <c r="H31" s="210">
        <f t="shared" si="2"/>
        <v>0</v>
      </c>
      <c r="I31" s="210"/>
    </row>
    <row r="32" spans="1:9" ht="12.75" customHeight="1">
      <c r="A32" s="217" t="s">
        <v>42</v>
      </c>
      <c r="B32" s="217"/>
      <c r="C32" s="217"/>
      <c r="D32" s="217"/>
      <c r="E32" s="28">
        <v>12</v>
      </c>
      <c r="F32" s="28">
        <f t="shared" si="1"/>
        <v>144</v>
      </c>
      <c r="G32" s="198"/>
      <c r="H32" s="210">
        <f t="shared" si="2"/>
        <v>0</v>
      </c>
      <c r="I32" s="210"/>
    </row>
    <row r="33" spans="1:9" ht="12.75" customHeight="1">
      <c r="A33" s="217" t="s">
        <v>51</v>
      </c>
      <c r="B33" s="217"/>
      <c r="C33" s="217"/>
      <c r="D33" s="217"/>
      <c r="E33" s="28">
        <v>8</v>
      </c>
      <c r="F33" s="28">
        <f t="shared" si="1"/>
        <v>96</v>
      </c>
      <c r="G33" s="198"/>
      <c r="H33" s="210">
        <f t="shared" si="2"/>
        <v>0</v>
      </c>
      <c r="I33" s="210"/>
    </row>
    <row r="34" spans="1:9" ht="12.75" customHeight="1">
      <c r="A34" s="217" t="s">
        <v>52</v>
      </c>
      <c r="B34" s="217"/>
      <c r="C34" s="217"/>
      <c r="D34" s="217"/>
      <c r="E34" s="28">
        <v>8</v>
      </c>
      <c r="F34" s="28">
        <f t="shared" si="1"/>
        <v>96</v>
      </c>
      <c r="G34" s="198"/>
      <c r="H34" s="210">
        <f t="shared" si="2"/>
        <v>0</v>
      </c>
      <c r="I34" s="210"/>
    </row>
    <row r="35" spans="1:9" ht="12.75" customHeight="1">
      <c r="A35" s="217" t="s">
        <v>53</v>
      </c>
      <c r="B35" s="217"/>
      <c r="C35" s="217"/>
      <c r="D35" s="217"/>
      <c r="E35" s="28">
        <v>8</v>
      </c>
      <c r="F35" s="28">
        <f t="shared" si="1"/>
        <v>96</v>
      </c>
      <c r="G35" s="198"/>
      <c r="H35" s="210">
        <f t="shared" si="2"/>
        <v>0</v>
      </c>
      <c r="I35" s="210"/>
    </row>
    <row r="36" spans="1:9" ht="12.75" customHeight="1">
      <c r="A36" s="244" t="s">
        <v>54</v>
      </c>
      <c r="B36" s="244"/>
      <c r="C36" s="244"/>
      <c r="D36" s="244"/>
      <c r="E36" s="28">
        <v>12</v>
      </c>
      <c r="F36" s="28">
        <f t="shared" si="1"/>
        <v>144</v>
      </c>
      <c r="G36" s="198"/>
      <c r="H36" s="210">
        <f t="shared" si="2"/>
        <v>0</v>
      </c>
      <c r="I36" s="210"/>
    </row>
    <row r="37" spans="1:9" ht="12.75" customHeight="1">
      <c r="A37" s="218" t="s">
        <v>58</v>
      </c>
      <c r="B37" s="218"/>
      <c r="C37" s="218"/>
      <c r="D37" s="218"/>
      <c r="E37" s="218"/>
      <c r="F37" s="218"/>
      <c r="G37" s="218"/>
      <c r="H37" s="223">
        <f>SUM(H28:I36)</f>
        <v>0</v>
      </c>
      <c r="I37" s="223"/>
    </row>
    <row r="38" spans="1:9" ht="12.75" customHeight="1">
      <c r="A38" s="29"/>
      <c r="B38" s="29"/>
      <c r="C38" s="29"/>
      <c r="D38" s="29"/>
      <c r="E38" s="29"/>
      <c r="F38" s="29"/>
      <c r="G38" s="29"/>
      <c r="H38" s="30"/>
      <c r="I38" s="30"/>
    </row>
    <row r="39" spans="1:9" ht="12.75" customHeight="1">
      <c r="A39" s="245" t="s">
        <v>59</v>
      </c>
      <c r="B39" s="246"/>
      <c r="C39" s="246"/>
      <c r="D39" s="246"/>
      <c r="E39" s="246"/>
      <c r="F39" s="246"/>
      <c r="G39" s="246"/>
      <c r="H39" s="246"/>
      <c r="I39" s="247"/>
    </row>
    <row r="40" spans="1:9" ht="12.75" customHeight="1">
      <c r="A40" s="241" t="s">
        <v>56</v>
      </c>
      <c r="B40" s="242"/>
      <c r="C40" s="242"/>
      <c r="D40" s="243"/>
      <c r="E40" s="241" t="s">
        <v>35</v>
      </c>
      <c r="F40" s="243"/>
      <c r="G40" s="27" t="s">
        <v>36</v>
      </c>
      <c r="H40" s="241" t="s">
        <v>37</v>
      </c>
      <c r="I40" s="243"/>
    </row>
    <row r="41" spans="1:9" ht="12.75" customHeight="1">
      <c r="A41" s="230" t="s">
        <v>57</v>
      </c>
      <c r="B41" s="230"/>
      <c r="C41" s="230"/>
      <c r="D41" s="231"/>
      <c r="E41" s="225">
        <v>8</v>
      </c>
      <c r="F41" s="226"/>
      <c r="G41" s="198"/>
      <c r="H41" s="221">
        <f>ROUNDDOWN(E41*G41,2)</f>
        <v>0</v>
      </c>
      <c r="I41" s="222"/>
    </row>
    <row r="42" spans="1:9" ht="12.75" customHeight="1">
      <c r="A42" s="227" t="s">
        <v>60</v>
      </c>
      <c r="B42" s="228"/>
      <c r="C42" s="228"/>
      <c r="D42" s="228"/>
      <c r="E42" s="228"/>
      <c r="F42" s="228"/>
      <c r="G42" s="229"/>
      <c r="H42" s="232">
        <f>SUM(H41:I41)</f>
        <v>0</v>
      </c>
      <c r="I42" s="233"/>
    </row>
    <row r="43" spans="1:9" ht="12.75" customHeight="1">
      <c r="A43" s="29"/>
      <c r="B43" s="29"/>
      <c r="C43" s="29"/>
      <c r="D43" s="29"/>
      <c r="E43" s="29"/>
      <c r="F43" s="29"/>
      <c r="G43" s="29"/>
      <c r="H43" s="30"/>
      <c r="I43" s="30"/>
    </row>
    <row r="44" spans="1:9" ht="12.75" customHeight="1">
      <c r="A44" s="218" t="s">
        <v>485</v>
      </c>
      <c r="B44" s="218"/>
      <c r="C44" s="218"/>
      <c r="D44" s="218"/>
      <c r="E44" s="218"/>
      <c r="F44" s="218"/>
      <c r="G44" s="218"/>
      <c r="H44" s="218"/>
      <c r="I44" s="218"/>
    </row>
    <row r="45" spans="1:9" ht="48" customHeight="1">
      <c r="A45" s="27"/>
      <c r="B45" s="33"/>
      <c r="C45" s="33"/>
      <c r="D45" s="218" t="s">
        <v>61</v>
      </c>
      <c r="E45" s="218"/>
      <c r="F45" s="218" t="s">
        <v>62</v>
      </c>
      <c r="G45" s="218"/>
      <c r="H45" s="218" t="s">
        <v>63</v>
      </c>
      <c r="I45" s="218"/>
    </row>
    <row r="46" spans="1:9" ht="39" customHeight="1">
      <c r="A46" s="208" t="s">
        <v>66</v>
      </c>
      <c r="B46" s="208"/>
      <c r="C46" s="208"/>
      <c r="D46" s="237">
        <f>'Materiais de Reposição'!F126</f>
        <v>28975.139610039994</v>
      </c>
      <c r="E46" s="237"/>
      <c r="F46" s="236">
        <v>0</v>
      </c>
      <c r="G46" s="236"/>
      <c r="H46" s="235">
        <f>(D46*(1-F46))</f>
        <v>28975.139610039994</v>
      </c>
      <c r="I46" s="208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>
      <c r="A48" s="6"/>
      <c r="B48" s="6"/>
      <c r="C48" s="6"/>
      <c r="D48" s="6"/>
      <c r="E48" s="6"/>
      <c r="F48" s="6"/>
      <c r="G48" s="6"/>
      <c r="H48" s="6"/>
      <c r="I48" s="6"/>
    </row>
    <row r="49" spans="1:9">
      <c r="A49" s="218" t="s">
        <v>486</v>
      </c>
      <c r="B49" s="218"/>
      <c r="C49" s="218"/>
      <c r="D49" s="218"/>
      <c r="E49" s="218"/>
      <c r="F49" s="218"/>
      <c r="G49" s="218"/>
      <c r="H49" s="218"/>
      <c r="I49" s="218"/>
    </row>
    <row r="50" spans="1:9" ht="48" customHeight="1">
      <c r="A50" s="241"/>
      <c r="B50" s="242"/>
      <c r="C50" s="243"/>
      <c r="D50" s="218" t="s">
        <v>67</v>
      </c>
      <c r="E50" s="218"/>
      <c r="F50" s="218" t="s">
        <v>62</v>
      </c>
      <c r="G50" s="218"/>
      <c r="H50" s="218" t="s">
        <v>63</v>
      </c>
      <c r="I50" s="218"/>
    </row>
    <row r="51" spans="1:9" ht="39" customHeight="1">
      <c r="A51" s="208" t="s">
        <v>64</v>
      </c>
      <c r="B51" s="208"/>
      <c r="C51" s="208"/>
      <c r="D51" s="237">
        <f>ROUNDDOWN((20835.06*(1+'Cálculo do BDI'!C26)),2)</f>
        <v>25200</v>
      </c>
      <c r="E51" s="237"/>
      <c r="F51" s="239">
        <f>F46</f>
        <v>0</v>
      </c>
      <c r="G51" s="240"/>
      <c r="H51" s="237">
        <f>D51*(1-F51)</f>
        <v>25200</v>
      </c>
      <c r="I51" s="237"/>
    </row>
    <row r="52" spans="1:9">
      <c r="A52" s="6"/>
      <c r="B52" s="6"/>
      <c r="C52" s="6"/>
      <c r="D52" s="6"/>
      <c r="E52" s="6"/>
      <c r="F52" s="6"/>
      <c r="G52" s="6"/>
      <c r="H52" s="6"/>
      <c r="I52" s="6"/>
    </row>
    <row r="53" spans="1:9" ht="15" customHeight="1">
      <c r="A53" s="220" t="s">
        <v>487</v>
      </c>
      <c r="B53" s="220"/>
      <c r="C53" s="220"/>
      <c r="D53" s="220"/>
      <c r="E53" s="220"/>
      <c r="F53" s="220"/>
      <c r="G53" s="220"/>
      <c r="H53" s="219">
        <f>SUM(H21,H25,H37,H42,H46,H51)</f>
        <v>54175.139610039994</v>
      </c>
      <c r="I53" s="220"/>
    </row>
    <row r="54" spans="1:9" ht="15.75">
      <c r="A54" s="13"/>
      <c r="B54" s="15"/>
      <c r="C54" s="14"/>
      <c r="D54" s="14"/>
      <c r="E54" s="14"/>
      <c r="F54" s="14"/>
      <c r="G54" s="16"/>
      <c r="H54" s="16"/>
      <c r="I54" s="17"/>
    </row>
    <row r="55" spans="1:9" ht="14.1" customHeight="1">
      <c r="A55" s="207" t="s">
        <v>65</v>
      </c>
      <c r="B55" s="207"/>
      <c r="C55" s="207"/>
      <c r="D55" s="207"/>
      <c r="E55" s="207"/>
      <c r="F55" s="207"/>
      <c r="G55" s="207"/>
      <c r="H55" s="207"/>
      <c r="I55" s="207"/>
    </row>
    <row r="56" spans="1:9" ht="15.75">
      <c r="A56" s="13"/>
      <c r="B56" s="14"/>
      <c r="C56" s="14"/>
      <c r="D56" s="14"/>
      <c r="E56" s="14"/>
      <c r="F56" s="14"/>
      <c r="G56" s="16"/>
      <c r="H56" s="16"/>
      <c r="I56" s="17"/>
    </row>
    <row r="57" spans="1:9" ht="39.950000000000003" customHeight="1">
      <c r="A57" s="238" t="s">
        <v>9</v>
      </c>
      <c r="B57" s="238"/>
      <c r="C57" s="238"/>
      <c r="D57" s="238"/>
      <c r="E57" s="238"/>
      <c r="F57" s="238"/>
      <c r="G57" s="238"/>
      <c r="H57" s="238"/>
      <c r="I57" s="238"/>
    </row>
    <row r="58" spans="1:9" ht="14.25">
      <c r="A58" s="18"/>
      <c r="B58" s="18"/>
      <c r="C58" s="18"/>
      <c r="D58" s="18"/>
      <c r="E58" s="18"/>
      <c r="F58" s="18"/>
      <c r="G58" s="19"/>
      <c r="H58" s="20"/>
      <c r="I58" s="19"/>
    </row>
    <row r="59" spans="1:9" ht="27.6" customHeight="1">
      <c r="A59" s="207" t="s">
        <v>10</v>
      </c>
      <c r="B59" s="207"/>
      <c r="C59" s="207"/>
      <c r="D59" s="207"/>
      <c r="E59" s="207"/>
      <c r="F59" s="207"/>
      <c r="G59" s="207"/>
      <c r="H59" s="207"/>
      <c r="I59" s="207"/>
    </row>
    <row r="60" spans="1:9" ht="14.25">
      <c r="A60" s="21"/>
      <c r="B60" s="21"/>
      <c r="C60" s="21"/>
      <c r="D60" s="21"/>
      <c r="E60" s="21"/>
      <c r="F60" s="21"/>
      <c r="G60" s="22"/>
      <c r="H60" s="22"/>
      <c r="I60" s="22"/>
    </row>
    <row r="61" spans="1:9" ht="14.1" customHeight="1">
      <c r="A61" s="207" t="s">
        <v>11</v>
      </c>
      <c r="B61" s="207"/>
      <c r="C61" s="207"/>
      <c r="D61" s="207"/>
      <c r="E61" s="207"/>
      <c r="F61" s="207"/>
      <c r="G61" s="207"/>
      <c r="H61" s="207"/>
      <c r="I61" s="207"/>
    </row>
    <row r="62" spans="1:9" ht="14.25">
      <c r="A62" s="21"/>
      <c r="B62" s="21"/>
      <c r="C62" s="21"/>
      <c r="D62" s="21"/>
      <c r="E62" s="21"/>
      <c r="F62" s="21"/>
      <c r="G62" s="22"/>
      <c r="H62" s="22"/>
      <c r="I62" s="22"/>
    </row>
    <row r="63" spans="1:9" ht="14.1" customHeight="1">
      <c r="A63" s="207" t="s">
        <v>12</v>
      </c>
      <c r="B63" s="207"/>
      <c r="C63" s="207"/>
      <c r="D63" s="207"/>
      <c r="E63" s="207"/>
      <c r="F63" s="207"/>
      <c r="G63" s="207"/>
      <c r="H63" s="207"/>
      <c r="I63" s="207"/>
    </row>
    <row r="64" spans="1:9" ht="14.25">
      <c r="A64" s="1"/>
      <c r="B64" s="23"/>
      <c r="C64" s="23"/>
      <c r="D64" s="23"/>
      <c r="E64" s="23"/>
      <c r="F64" s="23"/>
      <c r="G64" s="24"/>
      <c r="H64" s="24"/>
      <c r="I64" s="24"/>
    </row>
    <row r="65" spans="1:10" ht="27.6" customHeight="1">
      <c r="A65" s="238" t="s">
        <v>13</v>
      </c>
      <c r="B65" s="238"/>
      <c r="C65" s="238"/>
      <c r="D65" s="238"/>
      <c r="E65" s="238"/>
      <c r="F65" s="238"/>
      <c r="G65" s="238"/>
      <c r="H65" s="238"/>
      <c r="I65" s="238"/>
    </row>
    <row r="66" spans="1:10" ht="14.25">
      <c r="A66" s="1"/>
      <c r="B66" s="23"/>
      <c r="C66" s="23"/>
      <c r="D66" s="23"/>
      <c r="E66" s="23"/>
      <c r="F66" s="23"/>
      <c r="G66" s="24"/>
      <c r="H66" s="24"/>
      <c r="I66" s="24"/>
    </row>
    <row r="67" spans="1:10" ht="14.1" customHeight="1">
      <c r="A67" s="234" t="s">
        <v>14</v>
      </c>
      <c r="B67" s="234"/>
      <c r="C67" s="234"/>
      <c r="D67" s="234"/>
      <c r="E67" s="234"/>
      <c r="F67" s="234"/>
      <c r="G67" s="234"/>
      <c r="H67" s="234"/>
      <c r="I67" s="234"/>
      <c r="J67" s="25"/>
    </row>
    <row r="68" spans="1:10" ht="14.1" customHeight="1">
      <c r="A68" s="234" t="s">
        <v>15</v>
      </c>
      <c r="B68" s="234"/>
      <c r="C68" s="234"/>
      <c r="D68" s="234"/>
      <c r="E68" s="234"/>
      <c r="F68" s="234"/>
      <c r="G68" s="234"/>
      <c r="H68" s="234"/>
      <c r="I68" s="234"/>
      <c r="J68" s="25"/>
    </row>
    <row r="69" spans="1:10" ht="14.1" customHeight="1">
      <c r="A69" s="234" t="s">
        <v>16</v>
      </c>
      <c r="B69" s="234"/>
      <c r="C69" s="234"/>
      <c r="D69" s="234"/>
      <c r="E69" s="234"/>
      <c r="F69" s="234"/>
      <c r="G69" s="234"/>
      <c r="H69" s="234"/>
      <c r="I69" s="234"/>
      <c r="J69" s="25"/>
    </row>
    <row r="70" spans="1:10" ht="14.1" customHeight="1">
      <c r="A70" s="234" t="s">
        <v>17</v>
      </c>
      <c r="B70" s="234"/>
      <c r="C70" s="234"/>
      <c r="D70" s="234"/>
      <c r="E70" s="234"/>
      <c r="F70" s="234"/>
      <c r="G70" s="234"/>
      <c r="H70" s="234"/>
      <c r="I70" s="234"/>
      <c r="J70" s="25"/>
    </row>
    <row r="71" spans="1:10" ht="14.25">
      <c r="A71" s="26" t="s">
        <v>18</v>
      </c>
      <c r="B71" s="26"/>
      <c r="C71" s="26" t="s">
        <v>19</v>
      </c>
      <c r="D71" s="26"/>
      <c r="E71" s="26"/>
      <c r="F71" s="26"/>
    </row>
  </sheetData>
  <sheetProtection sheet="1" objects="1" scenarios="1"/>
  <protectedRanges>
    <protectedRange sqref="G19:G20 G28:G36 F46 G41" name="Dados"/>
    <protectedRange sqref="A8 A54:I71" name="Textos"/>
  </protectedRanges>
  <mergeCells count="85">
    <mergeCell ref="H32:I32"/>
    <mergeCell ref="A39:I39"/>
    <mergeCell ref="E40:F40"/>
    <mergeCell ref="H40:I40"/>
    <mergeCell ref="A40:D40"/>
    <mergeCell ref="H33:I33"/>
    <mergeCell ref="A70:I70"/>
    <mergeCell ref="A18:D18"/>
    <mergeCell ref="A19:D19"/>
    <mergeCell ref="A20:D20"/>
    <mergeCell ref="A23:D23"/>
    <mergeCell ref="H18:I18"/>
    <mergeCell ref="H19:I19"/>
    <mergeCell ref="H20:I20"/>
    <mergeCell ref="H21:I21"/>
    <mergeCell ref="A59:I59"/>
    <mergeCell ref="A61:I61"/>
    <mergeCell ref="A63:I63"/>
    <mergeCell ref="A65:I65"/>
    <mergeCell ref="A67:I67"/>
    <mergeCell ref="H31:I31"/>
    <mergeCell ref="A36:D36"/>
    <mergeCell ref="A69:I69"/>
    <mergeCell ref="A55:I55"/>
    <mergeCell ref="A57:I57"/>
    <mergeCell ref="A49:I49"/>
    <mergeCell ref="A51:C51"/>
    <mergeCell ref="D51:E51"/>
    <mergeCell ref="F51:G51"/>
    <mergeCell ref="H51:I51"/>
    <mergeCell ref="A50:C50"/>
    <mergeCell ref="D50:E50"/>
    <mergeCell ref="F50:G50"/>
    <mergeCell ref="H50:I50"/>
    <mergeCell ref="E41:F41"/>
    <mergeCell ref="A42:G42"/>
    <mergeCell ref="A41:D41"/>
    <mergeCell ref="H42:I42"/>
    <mergeCell ref="A68:I68"/>
    <mergeCell ref="A46:C46"/>
    <mergeCell ref="D45:E45"/>
    <mergeCell ref="F45:G45"/>
    <mergeCell ref="H45:I45"/>
    <mergeCell ref="H46:I46"/>
    <mergeCell ref="F46:G46"/>
    <mergeCell ref="D46:E46"/>
    <mergeCell ref="H27:I27"/>
    <mergeCell ref="H28:I28"/>
    <mergeCell ref="A25:G25"/>
    <mergeCell ref="A29:D29"/>
    <mergeCell ref="A30:D30"/>
    <mergeCell ref="H25:I25"/>
    <mergeCell ref="A27:D27"/>
    <mergeCell ref="A28:D28"/>
    <mergeCell ref="A31:D31"/>
    <mergeCell ref="A37:G37"/>
    <mergeCell ref="H29:I29"/>
    <mergeCell ref="H30:I30"/>
    <mergeCell ref="H53:I53"/>
    <mergeCell ref="A53:G53"/>
    <mergeCell ref="H41:I41"/>
    <mergeCell ref="A32:D32"/>
    <mergeCell ref="A33:D33"/>
    <mergeCell ref="A34:D34"/>
    <mergeCell ref="A35:D35"/>
    <mergeCell ref="A44:I44"/>
    <mergeCell ref="H34:I34"/>
    <mergeCell ref="H35:I35"/>
    <mergeCell ref="H36:I36"/>
    <mergeCell ref="H37:I37"/>
    <mergeCell ref="A2:I2"/>
    <mergeCell ref="A4:I4"/>
    <mergeCell ref="A6:I6"/>
    <mergeCell ref="A8:I8"/>
    <mergeCell ref="B10:E10"/>
    <mergeCell ref="A24:D24"/>
    <mergeCell ref="H23:I23"/>
    <mergeCell ref="H24:I24"/>
    <mergeCell ref="A21:G21"/>
    <mergeCell ref="B16:I16"/>
    <mergeCell ref="B11:C11"/>
    <mergeCell ref="D11:E11"/>
    <mergeCell ref="B12:C12"/>
    <mergeCell ref="D12:E12"/>
    <mergeCell ref="A14:I14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4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3DE3-7C04-48CB-8A54-6523BAA01A71}">
  <sheetPr>
    <pageSetUpPr fitToPage="1"/>
  </sheetPr>
  <dimension ref="A1:Z882"/>
  <sheetViews>
    <sheetView showGridLines="0" zoomScaleNormal="100" workbookViewId="0">
      <selection activeCell="C55" sqref="C55:D58"/>
    </sheetView>
  </sheetViews>
  <sheetFormatPr defaultColWidth="14.42578125" defaultRowHeight="14.25"/>
  <cols>
    <col min="1" max="1" width="3" style="34" customWidth="1"/>
    <col min="2" max="2" width="89.140625" style="34" customWidth="1"/>
    <col min="3" max="3" width="20.7109375" style="34" customWidth="1"/>
    <col min="4" max="4" width="21.28515625" style="34" customWidth="1"/>
    <col min="5" max="5" width="18" style="34" customWidth="1"/>
    <col min="6" max="6" width="19.5703125" style="34" customWidth="1"/>
    <col min="7" max="7" width="17.5703125" style="34" customWidth="1"/>
    <col min="8" max="8" width="8.7109375" style="34" customWidth="1"/>
    <col min="9" max="9" width="14.7109375" style="34" customWidth="1"/>
    <col min="10" max="26" width="8.7109375" style="34" customWidth="1"/>
    <col min="27" max="16384" width="14.42578125" style="34"/>
  </cols>
  <sheetData>
    <row r="1" spans="1:26" ht="15">
      <c r="A1" s="252"/>
      <c r="B1" s="252"/>
      <c r="C1" s="252"/>
      <c r="D1" s="252"/>
      <c r="E1" s="36"/>
      <c r="F1" s="36"/>
      <c r="G1" s="37"/>
      <c r="H1" s="37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5">
      <c r="A2" s="252"/>
      <c r="B2" s="252"/>
      <c r="C2" s="252"/>
      <c r="D2" s="252"/>
      <c r="E2" s="36"/>
      <c r="F2" s="36"/>
      <c r="G2" s="37"/>
      <c r="H2" s="37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">
      <c r="A3" s="252"/>
      <c r="B3" s="252"/>
      <c r="C3" s="252"/>
      <c r="D3" s="252"/>
      <c r="E3" s="36"/>
      <c r="F3" s="36"/>
      <c r="G3" s="37"/>
      <c r="H3" s="37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">
      <c r="A4" s="252"/>
      <c r="B4" s="252"/>
      <c r="C4" s="252"/>
      <c r="D4" s="252"/>
      <c r="E4" s="36"/>
      <c r="F4" s="36"/>
      <c r="G4" s="37"/>
      <c r="H4" s="37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">
      <c r="A5" s="252"/>
      <c r="B5" s="252"/>
      <c r="C5" s="252"/>
      <c r="D5" s="252"/>
      <c r="E5" s="36"/>
      <c r="F5" s="36"/>
      <c r="G5" s="37"/>
      <c r="H5" s="37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>
      <c r="A6" s="253" t="s">
        <v>68</v>
      </c>
      <c r="B6" s="253"/>
      <c r="C6" s="253"/>
      <c r="D6" s="253"/>
      <c r="E6" s="36"/>
      <c r="F6" s="36"/>
      <c r="G6" s="37"/>
      <c r="H6" s="37"/>
      <c r="I6" s="3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>
      <c r="A7" s="253" t="s">
        <v>84</v>
      </c>
      <c r="B7" s="253"/>
      <c r="C7" s="253"/>
      <c r="D7" s="253"/>
      <c r="E7" s="36"/>
      <c r="F7" s="36"/>
      <c r="G7" s="37"/>
      <c r="H7" s="37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>
      <c r="A8" s="48"/>
      <c r="B8" s="48"/>
      <c r="C8" s="48"/>
      <c r="D8" s="48"/>
      <c r="E8" s="36"/>
      <c r="F8" s="36"/>
      <c r="G8" s="37"/>
      <c r="H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>
      <c r="A9" s="253" t="s">
        <v>85</v>
      </c>
      <c r="B9" s="253"/>
      <c r="C9" s="253"/>
      <c r="D9" s="253"/>
      <c r="E9" s="36"/>
      <c r="F9" s="36"/>
      <c r="G9" s="37"/>
      <c r="H9" s="37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">
      <c r="A10" s="199"/>
      <c r="B10" s="199"/>
      <c r="C10" s="199"/>
      <c r="D10" s="199"/>
      <c r="E10" s="36"/>
      <c r="F10" s="36"/>
      <c r="G10" s="37"/>
      <c r="H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>
      <c r="A11" s="49"/>
      <c r="B11" s="49"/>
      <c r="C11" s="49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8">
      <c r="A12" s="255" t="s">
        <v>263</v>
      </c>
      <c r="B12" s="255"/>
      <c r="C12" s="255"/>
      <c r="D12" s="255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>
      <c r="A13" s="50"/>
      <c r="B13" s="50"/>
      <c r="C13" s="50"/>
      <c r="D13" s="50"/>
      <c r="E13" s="36"/>
      <c r="F13" s="36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39"/>
    </row>
    <row r="14" spans="1:26" ht="23.85" customHeight="1">
      <c r="A14" s="256" t="s">
        <v>86</v>
      </c>
      <c r="B14" s="256"/>
      <c r="C14" s="256"/>
      <c r="D14" s="256"/>
      <c r="E14" s="36"/>
      <c r="F14" s="36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37"/>
      <c r="Z14" s="37"/>
    </row>
    <row r="15" spans="1:26" ht="15">
      <c r="A15" s="51"/>
      <c r="B15" s="51"/>
      <c r="C15" s="51"/>
      <c r="D15" s="5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">
      <c r="A16" s="257" t="s">
        <v>258</v>
      </c>
      <c r="B16" s="257"/>
      <c r="C16" s="257"/>
      <c r="D16" s="25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>
      <c r="A17" s="49"/>
      <c r="B17" s="49"/>
      <c r="C17" s="49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">
      <c r="A18" s="254" t="s">
        <v>69</v>
      </c>
      <c r="B18" s="254"/>
      <c r="C18" s="254"/>
      <c r="D18" s="254"/>
      <c r="F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>
      <c r="A19" s="258" t="s">
        <v>71</v>
      </c>
      <c r="B19" s="258"/>
      <c r="C19" s="263" t="s">
        <v>72</v>
      </c>
      <c r="D19" s="263"/>
      <c r="F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>
      <c r="A20" s="259" t="s">
        <v>73</v>
      </c>
      <c r="B20" s="259"/>
      <c r="C20" s="250">
        <v>2.8899999999999999E-2</v>
      </c>
      <c r="D20" s="250"/>
      <c r="F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>
      <c r="A21" s="259" t="s">
        <v>74</v>
      </c>
      <c r="B21" s="259"/>
      <c r="C21" s="250">
        <v>7.4999999999999997E-3</v>
      </c>
      <c r="D21" s="250"/>
      <c r="F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>
      <c r="A22" s="259" t="s">
        <v>75</v>
      </c>
      <c r="B22" s="259"/>
      <c r="C22" s="250">
        <v>9.1999999999999998E-3</v>
      </c>
      <c r="D22" s="250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259" t="s">
        <v>76</v>
      </c>
      <c r="B23" s="259"/>
      <c r="C23" s="250">
        <v>5.8999999999999999E-3</v>
      </c>
      <c r="D23" s="250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>
      <c r="A24" s="259" t="s">
        <v>77</v>
      </c>
      <c r="B24" s="259"/>
      <c r="C24" s="250">
        <v>5.0500000000000003E-2</v>
      </c>
      <c r="D24" s="250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>
      <c r="A25" s="259" t="s">
        <v>78</v>
      </c>
      <c r="B25" s="259"/>
      <c r="C25" s="250">
        <v>8.6499999999999994E-2</v>
      </c>
      <c r="D25" s="250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42" customHeight="1">
      <c r="A26" s="251" t="s">
        <v>260</v>
      </c>
      <c r="B26" s="251"/>
      <c r="C26" s="264">
        <f>ROUNDDOWN((((1+(C20+C21+C22))*(1+C23)*(1+C24))/(1-C25))-1,4)</f>
        <v>0.20949999999999999</v>
      </c>
      <c r="D26" s="265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>
      <c r="A27" s="268"/>
      <c r="B27" s="268"/>
      <c r="C27" s="266" t="s">
        <v>70</v>
      </c>
      <c r="D27" s="267" t="s">
        <v>259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8.5" customHeight="1">
      <c r="A28" s="268"/>
      <c r="B28" s="268"/>
      <c r="C28" s="266"/>
      <c r="D28" s="26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>
      <c r="A29" s="269"/>
      <c r="B29" s="269"/>
      <c r="C29" s="269"/>
      <c r="D29" s="43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>
      <c r="A30" s="249" t="s">
        <v>79</v>
      </c>
      <c r="B30" s="249"/>
      <c r="C30" s="42" t="s">
        <v>72</v>
      </c>
      <c r="D30" s="42" t="s">
        <v>72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249" t="s">
        <v>20</v>
      </c>
      <c r="B31" s="249"/>
      <c r="C31" s="250">
        <v>6.4999999999999997E-3</v>
      </c>
      <c r="D31" s="250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>
      <c r="A32" s="249" t="s">
        <v>80</v>
      </c>
      <c r="B32" s="249"/>
      <c r="C32" s="250">
        <v>0.03</v>
      </c>
      <c r="D32" s="250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>
      <c r="A33" s="249" t="s">
        <v>261</v>
      </c>
      <c r="B33" s="249"/>
      <c r="C33" s="44">
        <v>4.4999999999999998E-2</v>
      </c>
      <c r="D33" s="44">
        <v>0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" customHeight="1">
      <c r="A34" s="249" t="s">
        <v>262</v>
      </c>
      <c r="B34" s="249"/>
      <c r="C34" s="250">
        <v>0.05</v>
      </c>
      <c r="D34" s="250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>
      <c r="A35" s="251" t="s">
        <v>81</v>
      </c>
      <c r="B35" s="251"/>
      <c r="C35" s="45">
        <f>SUM(C31:C34)</f>
        <v>0.13150000000000001</v>
      </c>
      <c r="D35" s="45">
        <f>SUM(C31,C32,D33,C34)</f>
        <v>8.6499999999999994E-2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>
      <c r="A36" s="260" t="s">
        <v>82</v>
      </c>
      <c r="B36" s="261"/>
      <c r="C36" s="261"/>
      <c r="D36" s="262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33" customHeight="1">
      <c r="A37" s="248" t="s">
        <v>83</v>
      </c>
      <c r="B37" s="248"/>
      <c r="C37" s="248"/>
      <c r="D37" s="248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28.5" customHeight="1">
      <c r="A38" s="41"/>
      <c r="B38" s="41"/>
      <c r="C38" s="4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>
      <c r="A40" s="257" t="s">
        <v>490</v>
      </c>
      <c r="B40" s="257"/>
      <c r="C40" s="257"/>
      <c r="D40" s="25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>
      <c r="A41" s="49"/>
      <c r="B41" s="49"/>
      <c r="C41" s="49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>
      <c r="A42" s="254" t="s">
        <v>69</v>
      </c>
      <c r="B42" s="254"/>
      <c r="C42" s="254"/>
      <c r="D42" s="254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>
      <c r="A43" s="258" t="s">
        <v>71</v>
      </c>
      <c r="B43" s="258"/>
      <c r="C43" s="263" t="s">
        <v>72</v>
      </c>
      <c r="D43" s="263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>
      <c r="A44" s="259" t="s">
        <v>73</v>
      </c>
      <c r="B44" s="259"/>
      <c r="C44" s="250">
        <v>1.4999999999999999E-2</v>
      </c>
      <c r="D44" s="250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>
      <c r="A45" s="259" t="s">
        <v>74</v>
      </c>
      <c r="B45" s="259"/>
      <c r="C45" s="250">
        <v>3.0000000000000001E-3</v>
      </c>
      <c r="D45" s="250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>
      <c r="A46" s="259" t="s">
        <v>75</v>
      </c>
      <c r="B46" s="259"/>
      <c r="C46" s="250">
        <v>5.5999999999999999E-3</v>
      </c>
      <c r="D46" s="250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>
      <c r="A47" s="259" t="s">
        <v>76</v>
      </c>
      <c r="B47" s="259"/>
      <c r="C47" s="250">
        <v>8.5000000000000006E-3</v>
      </c>
      <c r="D47" s="250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>
      <c r="A48" s="259" t="s">
        <v>77</v>
      </c>
      <c r="B48" s="259"/>
      <c r="C48" s="250">
        <v>3.5000000000000003E-2</v>
      </c>
      <c r="D48" s="250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>
      <c r="A49" s="259" t="s">
        <v>78</v>
      </c>
      <c r="B49" s="259"/>
      <c r="C49" s="250">
        <v>3.6499999999999998E-2</v>
      </c>
      <c r="D49" s="250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>
      <c r="A50" s="251" t="s">
        <v>260</v>
      </c>
      <c r="B50" s="251"/>
      <c r="C50" s="264">
        <f>ROUNDDOWN((((1+(C44+C45+C46))*(1+C47)*(1+C48))/(1-C49))-1,4)</f>
        <v>0.1089</v>
      </c>
      <c r="D50" s="265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>
      <c r="A51" s="268"/>
      <c r="B51" s="268"/>
      <c r="C51" s="266" t="s">
        <v>70</v>
      </c>
      <c r="D51" s="267" t="s">
        <v>259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>
      <c r="A52" s="268"/>
      <c r="B52" s="268"/>
      <c r="C52" s="266"/>
      <c r="D52" s="26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>
      <c r="A53" s="269"/>
      <c r="B53" s="269"/>
      <c r="C53" s="269"/>
      <c r="D53" s="43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5.75" customHeight="1">
      <c r="A54" s="249" t="s">
        <v>79</v>
      </c>
      <c r="B54" s="249"/>
      <c r="C54" s="42" t="s">
        <v>72</v>
      </c>
      <c r="D54" s="42" t="s">
        <v>72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.75" customHeight="1">
      <c r="A55" s="249" t="s">
        <v>20</v>
      </c>
      <c r="B55" s="249"/>
      <c r="C55" s="250">
        <v>6.4999999999999997E-3</v>
      </c>
      <c r="D55" s="250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5.75" customHeight="1">
      <c r="A56" s="249" t="s">
        <v>80</v>
      </c>
      <c r="B56" s="249"/>
      <c r="C56" s="250">
        <v>0.03</v>
      </c>
      <c r="D56" s="250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5.75" customHeight="1">
      <c r="A57" s="249" t="s">
        <v>261</v>
      </c>
      <c r="B57" s="249"/>
      <c r="C57" s="44">
        <v>4.4999999999999998E-2</v>
      </c>
      <c r="D57" s="44">
        <v>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5.75" customHeight="1">
      <c r="A58" s="249" t="s">
        <v>262</v>
      </c>
      <c r="B58" s="249"/>
      <c r="C58" s="250">
        <v>0.05</v>
      </c>
      <c r="D58" s="250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.75" customHeight="1">
      <c r="A59" s="251" t="s">
        <v>81</v>
      </c>
      <c r="B59" s="251"/>
      <c r="C59" s="45">
        <f>SUM(C55:C58)</f>
        <v>0.13150000000000001</v>
      </c>
      <c r="D59" s="45">
        <f>SUM(C55,C56,D57,C58)</f>
        <v>8.6499999999999994E-2</v>
      </c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5.75" customHeight="1">
      <c r="A60" s="260" t="s">
        <v>82</v>
      </c>
      <c r="B60" s="261"/>
      <c r="C60" s="261"/>
      <c r="D60" s="262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>
      <c r="A61" s="248" t="s">
        <v>83</v>
      </c>
      <c r="B61" s="248"/>
      <c r="C61" s="248"/>
      <c r="D61" s="248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.7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.7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5.7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.7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5.7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.7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5.7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.7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5.7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.7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5.7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5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.7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5.7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.7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5.7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.7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5.7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.7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5.7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.7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5.7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.7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5.7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.7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5.7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5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.7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5.7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.7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5.7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.7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5.7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.7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5.7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.7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5.7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.7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5.7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.7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5.7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.7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5.7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.7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5.7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.7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5.7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.7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5.7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.7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5.7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5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5.7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5.7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5.7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5.7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5.7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5.7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5.7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5.7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5.7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5.7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5.7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5.7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5.7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5.7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5.7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5.7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5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5.7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5.7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5.7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5.7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5.7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5.7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5.7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5.7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5.7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5.7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5.7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5.7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5.7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5.7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5.7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5.7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5.7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5.7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5.7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5.7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5.7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5.7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5.7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5.7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5.7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5.7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5.7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5.7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5.7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5.7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5.7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5.7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5.7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5.7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5.7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5.7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5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5.7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5.7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5.7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5.7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5.7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5.7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5.7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5.7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5.7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5.7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5.7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5.7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5.7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5.7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5.7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5.7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5.7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5.7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5.7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5.7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5.7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5.7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5.7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5.7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5.7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5.7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5.7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5.7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5.7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5.7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5.7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5.7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5.7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5.7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5.7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5.7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5.7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5.7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5.7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5.7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5.7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5.7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5.7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5.7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5.7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5.7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5.7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5.7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5.7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5.7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5.7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5.7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5.7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5.7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5.7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5.7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5.7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5.7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5.7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5.7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5.7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5.7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5.7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5.7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5.7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5.7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5.7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5.7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5.7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5.7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5.7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5.7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5.7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5.7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5.7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5.7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5.7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5.7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5.7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5.7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5.7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5.7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5.7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5.7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5.7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5.7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5.7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5.7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5.7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5.7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5.7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5.7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5.7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5.7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5.7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5.7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5.75" customHeight="1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5.75" customHeight="1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5.75" customHeight="1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5.75" customHeight="1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5.75" customHeight="1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5.75" customHeight="1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5.75" customHeight="1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5.75" customHeight="1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5.75" customHeight="1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5.75" customHeight="1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5.75" customHeight="1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5.75" customHeight="1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5.75" customHeight="1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5.75" customHeight="1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5.75" customHeight="1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5.75" customHeight="1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5.75" customHeight="1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5.75" customHeight="1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5.75" customHeight="1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5.75" customHeight="1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5.75" customHeight="1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5.75" customHeight="1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5.75" customHeight="1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5.75" customHeight="1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5.75" customHeight="1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5.75" customHeight="1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5.75" customHeight="1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5.75" customHeight="1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5.75" customHeight="1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5.75" customHeight="1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5.75" customHeight="1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5.75" customHeight="1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5.75" customHeight="1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5.75" customHeight="1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5.75" customHeight="1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5.75" customHeight="1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5.75" customHeight="1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5.75" customHeight="1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5.75" customHeight="1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5.75" customHeight="1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5.75" customHeight="1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5.75" customHeight="1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5.75" customHeight="1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5.75" customHeight="1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5.75" customHeight="1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5.75" customHeight="1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5.75" customHeight="1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5.75" customHeight="1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5.75" customHeight="1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5.75" customHeight="1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5.75" customHeight="1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5.75" customHeight="1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5.75" customHeight="1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5.75" customHeight="1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5.75" customHeight="1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5.75" customHeight="1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5.75" customHeight="1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5.75" customHeight="1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5.75" customHeight="1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5.75" customHeight="1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5.75" customHeight="1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5.75" customHeight="1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5.75" customHeight="1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5.75" customHeight="1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5.75" customHeight="1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5.75" customHeight="1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5.75" customHeight="1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5.75" customHeight="1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5.75" customHeight="1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5.75" customHeight="1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5.75" customHeight="1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5.75" customHeight="1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5.75" customHeight="1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5.75" customHeight="1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5.75" customHeight="1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5.75" customHeight="1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5.75" customHeight="1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5.75" customHeight="1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5.75" customHeight="1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5.75" customHeight="1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5.75" customHeight="1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5.75" customHeight="1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5.75" customHeight="1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5.75" customHeight="1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5.75" customHeight="1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5.75" customHeight="1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5.75" customHeight="1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5.75" customHeight="1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5.75" customHeight="1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5.75" customHeight="1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5.75" customHeight="1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5.75" customHeight="1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5.75" customHeight="1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5.75" customHeight="1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5.75" customHeight="1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5.75" customHeight="1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5.75" customHeight="1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5.75" customHeight="1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5.75" customHeight="1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5.75" customHeight="1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5.75" customHeight="1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5.75" customHeight="1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5.75" customHeight="1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5.75" customHeight="1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5.75" customHeight="1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5.75" customHeight="1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5.75" customHeight="1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5.75" customHeight="1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5.75" customHeight="1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5.75" customHeight="1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5.75" customHeight="1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5.75" customHeight="1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5.75" customHeight="1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5.75" customHeight="1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5.75" customHeight="1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5.75" customHeight="1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5.75" customHeight="1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5.75" customHeight="1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5.75" customHeight="1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5.75" customHeight="1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5.75" customHeight="1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5.75" customHeight="1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5.75" customHeight="1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5.75" customHeight="1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5.75" customHeight="1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5.75" customHeight="1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5.75" customHeight="1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5.75" customHeight="1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5.75" customHeight="1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5.75" customHeight="1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5.75" customHeight="1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5.75" customHeight="1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5.75" customHeight="1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5.75" customHeight="1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5.75" customHeight="1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5.75" customHeight="1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5.75" customHeight="1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5.75" customHeight="1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5.75" customHeight="1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5.75" customHeight="1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5.75" customHeight="1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5.75" customHeight="1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5.7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5.75" customHeight="1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5.75" customHeight="1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5.75" customHeight="1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5.75" customHeight="1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5.75" customHeight="1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5.75" customHeight="1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5.75" customHeight="1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5.75" customHeight="1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5.75" customHeight="1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5.75" customHeight="1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5.75" customHeight="1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5.75" customHeight="1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5.75" customHeight="1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5.75" customHeight="1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5.75" customHeight="1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5.75" customHeight="1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5.75" customHeight="1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5.75" customHeight="1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5.75" customHeight="1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5.75" customHeight="1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5.75" customHeight="1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5.75" customHeight="1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5.75" customHeight="1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5.75" customHeight="1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5.75" customHeight="1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5.75" customHeight="1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5.75" customHeight="1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5.75" customHeight="1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5.75" customHeight="1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5.75" customHeight="1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5.75" customHeight="1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5.75" customHeight="1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5.75" customHeight="1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5.75" customHeight="1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5.75" customHeight="1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5.75" customHeight="1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5.75" customHeight="1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5.75" customHeight="1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5.75" customHeight="1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5.75" customHeight="1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5.75" customHeight="1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5.75" customHeight="1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5.75" customHeight="1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5.75" customHeight="1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5.75" customHeight="1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5.75" customHeight="1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5.75" customHeight="1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5.75" customHeight="1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5.75" customHeight="1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5.75" customHeight="1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5.75" customHeight="1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5.75" customHeight="1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5.75" customHeight="1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5.75" customHeight="1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5.75" customHeight="1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5.75" customHeight="1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5.75" customHeight="1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5.75" customHeight="1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5.75" customHeight="1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5.75" customHeight="1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5.75" customHeight="1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5.75" customHeight="1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5.75" customHeight="1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5.75" customHeight="1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5.75" customHeight="1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5.75" customHeight="1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5.75" customHeight="1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5.75" customHeight="1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5.75" customHeight="1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5.75" customHeight="1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5.75" customHeight="1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5.75" customHeight="1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5.75" customHeight="1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5.75" customHeight="1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5.75" customHeight="1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5.75" customHeight="1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  <row r="882" spans="1:26" ht="15.75" customHeight="1">
      <c r="A882" s="37"/>
      <c r="B882" s="37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  <c r="Q882" s="37"/>
      <c r="R882" s="37"/>
      <c r="S882" s="37"/>
      <c r="T882" s="37"/>
      <c r="U882" s="37"/>
      <c r="V882" s="37"/>
      <c r="W882" s="37"/>
      <c r="X882" s="37"/>
      <c r="Y882" s="37"/>
      <c r="Z882" s="37"/>
    </row>
  </sheetData>
  <sheetProtection sheet="1" objects="1" scenarios="1"/>
  <protectedRanges>
    <protectedRange sqref="C20:D25 C31:D34 C44:D49 C55:D58" name="Intervalo1"/>
  </protectedRanges>
  <mergeCells count="72">
    <mergeCell ref="A55:B55"/>
    <mergeCell ref="C55:D55"/>
    <mergeCell ref="A56:B56"/>
    <mergeCell ref="C56:D56"/>
    <mergeCell ref="A57:B57"/>
    <mergeCell ref="A58:B58"/>
    <mergeCell ref="C58:D58"/>
    <mergeCell ref="A59:B59"/>
    <mergeCell ref="A60:D60"/>
    <mergeCell ref="A61:D61"/>
    <mergeCell ref="A51:B52"/>
    <mergeCell ref="C51:C52"/>
    <mergeCell ref="D51:D52"/>
    <mergeCell ref="A53:C53"/>
    <mergeCell ref="A54:B54"/>
    <mergeCell ref="A44:B44"/>
    <mergeCell ref="C44:D44"/>
    <mergeCell ref="C50:D50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0:B50"/>
    <mergeCell ref="A29:C29"/>
    <mergeCell ref="A30:B30"/>
    <mergeCell ref="A40:D40"/>
    <mergeCell ref="A42:D42"/>
    <mergeCell ref="A43:B43"/>
    <mergeCell ref="C43:D43"/>
    <mergeCell ref="A25:B25"/>
    <mergeCell ref="A26:B26"/>
    <mergeCell ref="A27:B28"/>
    <mergeCell ref="A23:B23"/>
    <mergeCell ref="C23:D23"/>
    <mergeCell ref="A24:B24"/>
    <mergeCell ref="C25:D25"/>
    <mergeCell ref="C19:D19"/>
    <mergeCell ref="C26:D26"/>
    <mergeCell ref="C27:C28"/>
    <mergeCell ref="D27:D28"/>
    <mergeCell ref="A1:D5"/>
    <mergeCell ref="A6:D6"/>
    <mergeCell ref="A7:D7"/>
    <mergeCell ref="C24:D24"/>
    <mergeCell ref="A18:D18"/>
    <mergeCell ref="A12:D12"/>
    <mergeCell ref="A14:D14"/>
    <mergeCell ref="A16:D16"/>
    <mergeCell ref="A9:D9"/>
    <mergeCell ref="A19:B19"/>
    <mergeCell ref="A20:B20"/>
    <mergeCell ref="C20:D20"/>
    <mergeCell ref="A21:B21"/>
    <mergeCell ref="C21:D21"/>
    <mergeCell ref="A22:B22"/>
    <mergeCell ref="C22:D22"/>
    <mergeCell ref="A37:D37"/>
    <mergeCell ref="A31:B31"/>
    <mergeCell ref="C31:D31"/>
    <mergeCell ref="A32:B32"/>
    <mergeCell ref="C32:D32"/>
    <mergeCell ref="A33:B33"/>
    <mergeCell ref="C34:D34"/>
    <mergeCell ref="A35:B35"/>
    <mergeCell ref="A34:B34"/>
    <mergeCell ref="A36:D3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84C9C-CC5B-4FB1-8B90-2A97C0302E09}">
  <dimension ref="A1:AMJ105"/>
  <sheetViews>
    <sheetView zoomScale="140" zoomScaleNormal="140" workbookViewId="0">
      <selection activeCell="C82" sqref="C82:E82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7.85546875" style="82" customWidth="1"/>
    <col min="5" max="5" width="13.5703125" style="82" customWidth="1"/>
    <col min="6" max="6" width="19.7109375" style="82" customWidth="1"/>
    <col min="7" max="7" width="11.85546875" style="82" customWidth="1"/>
    <col min="8" max="1024" width="9.140625" style="82"/>
  </cols>
  <sheetData>
    <row r="1" spans="2:6" ht="20.25">
      <c r="B1" s="271" t="s">
        <v>68</v>
      </c>
      <c r="C1" s="271"/>
      <c r="D1" s="271"/>
      <c r="E1" s="271"/>
      <c r="F1" s="271"/>
    </row>
    <row r="2" spans="2:6" ht="20.25">
      <c r="B2" s="272" t="s">
        <v>426</v>
      </c>
      <c r="C2" s="272"/>
      <c r="D2" s="272"/>
      <c r="E2" s="112" t="s">
        <v>427</v>
      </c>
      <c r="F2" s="113" t="str">
        <f>DATA_DO_ORCAMENTO_ESTIMATIVO</f>
        <v>XX/XX/20XX</v>
      </c>
    </row>
    <row r="3" spans="2:6" s="83" customFormat="1" ht="25.5">
      <c r="B3" s="273" t="s">
        <v>428</v>
      </c>
      <c r="C3" s="273"/>
      <c r="D3" s="273"/>
      <c r="E3" s="273"/>
      <c r="F3" s="273"/>
    </row>
    <row r="4" spans="2:6" s="83" customFormat="1" ht="15.95" customHeight="1">
      <c r="B4" s="274" t="s">
        <v>5</v>
      </c>
      <c r="C4" s="274"/>
      <c r="D4" s="274"/>
      <c r="E4" s="274"/>
      <c r="F4" s="274"/>
    </row>
    <row r="5" spans="2:6" s="83" customFormat="1" ht="15.95" customHeight="1">
      <c r="B5" s="270" t="s">
        <v>6</v>
      </c>
      <c r="C5" s="270"/>
      <c r="D5" s="275" t="s">
        <v>28</v>
      </c>
      <c r="E5" s="275"/>
      <c r="F5" s="275"/>
    </row>
    <row r="6" spans="2:6" s="83" customFormat="1" ht="15.75" customHeight="1">
      <c r="B6" s="276" t="s">
        <v>7</v>
      </c>
      <c r="C6" s="276"/>
      <c r="D6" s="277" t="str">
        <f>MODALIDADE_DE_LICITACAO</f>
        <v>Pregão nº</v>
      </c>
      <c r="E6" s="277"/>
      <c r="F6" s="115" t="s">
        <v>429</v>
      </c>
    </row>
    <row r="7" spans="2:6" s="83" customFormat="1" ht="15.75" customHeight="1">
      <c r="B7" s="278" t="s">
        <v>430</v>
      </c>
      <c r="C7" s="278"/>
      <c r="D7" s="278"/>
      <c r="E7" s="278"/>
      <c r="F7" s="278"/>
    </row>
    <row r="8" spans="2:6" s="83" customFormat="1" ht="18" customHeight="1">
      <c r="B8" s="116" t="s">
        <v>338</v>
      </c>
      <c r="C8" s="270" t="s">
        <v>431</v>
      </c>
      <c r="D8" s="270"/>
      <c r="E8" s="270"/>
      <c r="F8" s="117" t="str">
        <f>DATA_APRESENTACAO_PROPOSTA</f>
        <v>XX/XX/20XX</v>
      </c>
    </row>
    <row r="9" spans="2:6" s="83" customFormat="1" ht="15.95" customHeight="1">
      <c r="B9" s="118" t="s">
        <v>341</v>
      </c>
      <c r="C9" s="119" t="s">
        <v>432</v>
      </c>
      <c r="D9" s="279" t="s">
        <v>484</v>
      </c>
      <c r="E9" s="279"/>
      <c r="F9" s="279"/>
    </row>
    <row r="10" spans="2:6" s="83" customFormat="1" ht="18.75" customHeight="1">
      <c r="B10" s="116" t="s">
        <v>349</v>
      </c>
      <c r="C10" s="270" t="s">
        <v>433</v>
      </c>
      <c r="D10" s="270"/>
      <c r="E10" s="270"/>
      <c r="F10" s="117" t="s">
        <v>434</v>
      </c>
    </row>
    <row r="11" spans="2:6" s="83" customFormat="1" ht="15.95" customHeight="1">
      <c r="B11" s="118" t="s">
        <v>351</v>
      </c>
      <c r="C11" s="281" t="s">
        <v>435</v>
      </c>
      <c r="D11" s="281"/>
      <c r="E11" s="281"/>
      <c r="F11" s="120">
        <f>NUMERO_MESES_EXEC_CONTRATUAL</f>
        <v>12</v>
      </c>
    </row>
    <row r="12" spans="2:6" s="83" customFormat="1">
      <c r="B12" s="118" t="s">
        <v>353</v>
      </c>
      <c r="C12" s="282" t="s">
        <v>436</v>
      </c>
      <c r="D12" s="282"/>
      <c r="E12" s="282"/>
      <c r="F12" s="114">
        <v>1</v>
      </c>
    </row>
    <row r="13" spans="2:6" s="123" customFormat="1" ht="15" customHeight="1">
      <c r="B13" s="121" t="s">
        <v>437</v>
      </c>
      <c r="C13" s="122"/>
      <c r="D13" s="122"/>
      <c r="E13" s="122"/>
      <c r="F13" s="122"/>
    </row>
    <row r="14" spans="2:6" s="83" customFormat="1">
      <c r="B14" s="116">
        <v>1</v>
      </c>
      <c r="C14" s="270" t="s">
        <v>438</v>
      </c>
      <c r="D14" s="270"/>
      <c r="E14" s="283" t="s">
        <v>439</v>
      </c>
      <c r="F14" s="283"/>
    </row>
    <row r="15" spans="2:6" s="83" customFormat="1">
      <c r="B15" s="116">
        <v>2</v>
      </c>
      <c r="C15" s="124" t="s">
        <v>440</v>
      </c>
      <c r="D15" s="284" t="s">
        <v>441</v>
      </c>
      <c r="E15" s="284"/>
      <c r="F15" s="284"/>
    </row>
    <row r="16" spans="2:6" s="83" customFormat="1" ht="15" customHeight="1">
      <c r="B16" s="116">
        <v>3</v>
      </c>
      <c r="C16" s="125" t="s">
        <v>442</v>
      </c>
      <c r="D16" s="275" t="str">
        <f>IF(CATEGORIA_PROFISSIONAL="","",CATEGORIA_PROFISSIONAL)</f>
        <v/>
      </c>
      <c r="E16" s="275"/>
      <c r="F16" s="275"/>
    </row>
    <row r="17" spans="2:6" s="83" customFormat="1" ht="15" customHeight="1">
      <c r="B17" s="116">
        <v>4</v>
      </c>
      <c r="C17" s="276" t="s">
        <v>443</v>
      </c>
      <c r="D17" s="276"/>
      <c r="E17" s="276"/>
      <c r="F17" s="126">
        <v>44774</v>
      </c>
    </row>
    <row r="18" spans="2:6" s="127" customFormat="1" ht="20.25" customHeight="1">
      <c r="B18" s="285" t="s">
        <v>444</v>
      </c>
      <c r="C18" s="285"/>
      <c r="D18" s="285"/>
      <c r="E18" s="285"/>
      <c r="F18" s="285"/>
    </row>
    <row r="19" spans="2:6">
      <c r="B19" s="286" t="s">
        <v>445</v>
      </c>
      <c r="C19" s="287"/>
      <c r="D19" s="287"/>
      <c r="E19" s="287"/>
      <c r="F19" s="288"/>
    </row>
    <row r="20" spans="2:6">
      <c r="B20" s="128" t="s">
        <v>387</v>
      </c>
      <c r="E20" s="99"/>
      <c r="F20" s="99"/>
    </row>
    <row r="21" spans="2:6" ht="16.5" customHeight="1">
      <c r="B21" s="118">
        <v>1</v>
      </c>
      <c r="C21" s="289" t="s">
        <v>388</v>
      </c>
      <c r="D21" s="289"/>
      <c r="E21" s="289"/>
      <c r="F21" s="129" t="s">
        <v>446</v>
      </c>
    </row>
    <row r="22" spans="2:6" ht="16.350000000000001" customHeight="1">
      <c r="B22" s="118" t="s">
        <v>338</v>
      </c>
      <c r="C22" s="290" t="s">
        <v>447</v>
      </c>
      <c r="D22" s="290"/>
      <c r="E22" s="290"/>
      <c r="F22" s="130">
        <v>1889.51</v>
      </c>
    </row>
    <row r="23" spans="2:6" ht="16.5" customHeight="1">
      <c r="B23" s="118" t="s">
        <v>341</v>
      </c>
      <c r="C23" s="280" t="s">
        <v>448</v>
      </c>
      <c r="D23" s="280"/>
      <c r="E23" s="280"/>
      <c r="F23" s="131">
        <f>30%*AL_1_A_SAL_BASE</f>
        <v>566.85299999999995</v>
      </c>
    </row>
    <row r="24" spans="2:6" ht="15.75" customHeight="1">
      <c r="B24" s="118" t="s">
        <v>349</v>
      </c>
      <c r="C24" s="292" t="s">
        <v>449</v>
      </c>
      <c r="D24" s="292"/>
      <c r="E24" s="292"/>
      <c r="F24" s="130">
        <f>((AL_1_A_SAL_BASE+AL_1_B_ADIC_PERIC)/DIVISOR_DE_HORAS)*DIAS_NA_SEMANA*MEDIA_ANUAL_DIAS_TRABALHO_MES*PERC_ADIC_NOT%</f>
        <v>0</v>
      </c>
    </row>
    <row r="25" spans="2:6" ht="15.75" customHeight="1">
      <c r="B25" s="118" t="s">
        <v>351</v>
      </c>
      <c r="C25" s="280" t="s">
        <v>450</v>
      </c>
      <c r="D25" s="280"/>
      <c r="E25" s="280"/>
      <c r="F25" s="131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8" t="s">
        <v>353</v>
      </c>
      <c r="C26" s="293" t="s">
        <v>451</v>
      </c>
      <c r="D26" s="293"/>
      <c r="E26" s="293"/>
      <c r="F26" s="130">
        <f>PERC_ADIC_INS%*SAL_MINIMO</f>
        <v>0</v>
      </c>
    </row>
    <row r="27" spans="2:6">
      <c r="B27" s="118" t="s">
        <v>355</v>
      </c>
      <c r="C27" s="294" t="str">
        <f>OUTROS_REMUNERACAO_1_DESCRICAO</f>
        <v>Outras Remunerações 1 (Especificar)</v>
      </c>
      <c r="D27" s="294"/>
      <c r="E27" s="294"/>
      <c r="F27" s="131">
        <f>OUTROS_REMUNERACAO_1</f>
        <v>0</v>
      </c>
    </row>
    <row r="28" spans="2:6">
      <c r="B28" s="118" t="s">
        <v>357</v>
      </c>
      <c r="C28" s="290" t="str">
        <f>OUTROS_REMUNERACAO_2_DESCRICAO</f>
        <v>Outras Remunerações 2 (Especificar)</v>
      </c>
      <c r="D28" s="290"/>
      <c r="E28" s="290"/>
      <c r="F28" s="130">
        <f>OUTROS_REMUNERACAO_2</f>
        <v>0</v>
      </c>
    </row>
    <row r="29" spans="2:6">
      <c r="B29" s="118" t="s">
        <v>359</v>
      </c>
      <c r="C29" s="294" t="str">
        <f>OUTROS_REMUNERACAO_3_DESCRICAO</f>
        <v>Outras Remunerações 3 (Especificar)</v>
      </c>
      <c r="D29" s="294"/>
      <c r="E29" s="294"/>
      <c r="F29" s="131">
        <f>OUTROS_REMUNERACAO_3</f>
        <v>0</v>
      </c>
    </row>
    <row r="30" spans="2:6" ht="16.5" customHeight="1">
      <c r="B30" s="289" t="s">
        <v>361</v>
      </c>
      <c r="C30" s="289"/>
      <c r="D30" s="289"/>
      <c r="E30" s="289"/>
      <c r="F30" s="132">
        <f>SUM(F22:F29)</f>
        <v>2456.3629999999998</v>
      </c>
    </row>
    <row r="31" spans="2:6">
      <c r="B31" s="128" t="s">
        <v>332</v>
      </c>
      <c r="E31" s="85"/>
      <c r="F31" s="85"/>
    </row>
    <row r="32" spans="2:6">
      <c r="B32" s="128" t="s">
        <v>333</v>
      </c>
      <c r="C32" s="86"/>
      <c r="D32" s="87"/>
      <c r="E32" s="88"/>
      <c r="F32" s="88"/>
    </row>
    <row r="33" spans="2:6">
      <c r="B33" s="118" t="s">
        <v>334</v>
      </c>
      <c r="C33" s="295" t="s">
        <v>335</v>
      </c>
      <c r="D33" s="295"/>
      <c r="E33" s="129" t="s">
        <v>336</v>
      </c>
      <c r="F33" s="129" t="s">
        <v>446</v>
      </c>
    </row>
    <row r="34" spans="2:6" ht="16.5" customHeight="1">
      <c r="B34" s="118" t="s">
        <v>338</v>
      </c>
      <c r="C34" s="293" t="s">
        <v>339</v>
      </c>
      <c r="D34" s="293"/>
      <c r="E34" s="133">
        <f>PERC_DEC_TERC</f>
        <v>8.3333333333333321</v>
      </c>
      <c r="F34" s="134">
        <f>PERC_DEC_TERC%*MOD_1_REMUNERACAO</f>
        <v>204.6969166666666</v>
      </c>
    </row>
    <row r="35" spans="2:6" s="82" customFormat="1" ht="16.5" customHeight="1">
      <c r="B35" s="129" t="s">
        <v>341</v>
      </c>
      <c r="C35" s="280" t="s">
        <v>342</v>
      </c>
      <c r="D35" s="280"/>
      <c r="E35" s="135">
        <f>PERC_ADIC_FERIAS</f>
        <v>2.7777777777777777</v>
      </c>
      <c r="F35" s="136">
        <f>PERC_ADIC_FERIAS%*MOD_1_REMUNERACAO</f>
        <v>68.232305555555541</v>
      </c>
    </row>
    <row r="36" spans="2:6" s="94" customFormat="1">
      <c r="B36" s="295" t="s">
        <v>361</v>
      </c>
      <c r="C36" s="295"/>
      <c r="D36" s="295"/>
      <c r="E36" s="295"/>
      <c r="F36" s="137">
        <f>SUM(F34:F35)</f>
        <v>272.92922222222217</v>
      </c>
    </row>
    <row r="37" spans="2:6" s="94" customFormat="1" ht="31.5" customHeight="1">
      <c r="B37" s="291" t="s">
        <v>344</v>
      </c>
      <c r="C37" s="291"/>
      <c r="D37" s="291"/>
      <c r="E37" s="291"/>
      <c r="F37" s="291"/>
    </row>
    <row r="38" spans="2:6" s="94" customFormat="1" ht="34.5" customHeight="1">
      <c r="B38" s="118" t="s">
        <v>345</v>
      </c>
      <c r="C38" s="296" t="s">
        <v>346</v>
      </c>
      <c r="D38" s="296"/>
      <c r="E38" s="129" t="s">
        <v>336</v>
      </c>
      <c r="F38" s="129" t="s">
        <v>446</v>
      </c>
    </row>
    <row r="39" spans="2:6" ht="16.5" customHeight="1">
      <c r="B39" s="118" t="s">
        <v>338</v>
      </c>
      <c r="C39" s="293" t="s">
        <v>347</v>
      </c>
      <c r="D39" s="293"/>
      <c r="E39" s="133">
        <f>PERC_INSS</f>
        <v>20</v>
      </c>
      <c r="F39" s="134">
        <f>PERC_INSS%*(MOD_1_REMUNERACAO+SUBMOD_2_1_DEC_TERC_ADIC_FERIAS)</f>
        <v>545.85844444444444</v>
      </c>
    </row>
    <row r="40" spans="2:6" s="83" customFormat="1" ht="16.5" customHeight="1">
      <c r="B40" s="129" t="s">
        <v>341</v>
      </c>
      <c r="C40" s="280" t="s">
        <v>348</v>
      </c>
      <c r="D40" s="280"/>
      <c r="E40" s="138">
        <f>PERC_SAL_EDUCACAO</f>
        <v>2.5</v>
      </c>
      <c r="F40" s="136">
        <f>PERC_SAL_EDUCACAO%*(MOD_1_REMUNERACAO+SUBMOD_2_1_DEC_TERC_ADIC_FERIAS)</f>
        <v>68.232305555555556</v>
      </c>
    </row>
    <row r="41" spans="2:6" s="83" customFormat="1" ht="16.5" customHeight="1">
      <c r="B41" s="129" t="s">
        <v>349</v>
      </c>
      <c r="C41" s="293" t="s">
        <v>350</v>
      </c>
      <c r="D41" s="293"/>
      <c r="E41" s="133">
        <f>PERC_RAT</f>
        <v>3</v>
      </c>
      <c r="F41" s="134">
        <f>PERC_RAT%*(MOD_1_REMUNERACAO+SUBMOD_2_1_DEC_TERC_ADIC_FERIAS)</f>
        <v>81.87876666666665</v>
      </c>
    </row>
    <row r="42" spans="2:6" s="83" customFormat="1" ht="16.5" customHeight="1">
      <c r="B42" s="129" t="s">
        <v>351</v>
      </c>
      <c r="C42" s="280" t="s">
        <v>352</v>
      </c>
      <c r="D42" s="280"/>
      <c r="E42" s="135">
        <f>PERC_SESC</f>
        <v>1.5</v>
      </c>
      <c r="F42" s="136">
        <f>PERC_SESC%*(MOD_1_REMUNERACAO+SUBMOD_2_1_DEC_TERC_ADIC_FERIAS)</f>
        <v>40.939383333333325</v>
      </c>
    </row>
    <row r="43" spans="2:6" s="83" customFormat="1" ht="16.5" customHeight="1">
      <c r="B43" s="129" t="s">
        <v>353</v>
      </c>
      <c r="C43" s="293" t="s">
        <v>354</v>
      </c>
      <c r="D43" s="293"/>
      <c r="E43" s="133">
        <f>PERC_SENAC</f>
        <v>1</v>
      </c>
      <c r="F43" s="134">
        <f>PERC_SENAC%*(MOD_1_REMUNERACAO+SUBMOD_2_1_DEC_TERC_ADIC_FERIAS)</f>
        <v>27.29292222222222</v>
      </c>
    </row>
    <row r="44" spans="2:6" s="83" customFormat="1" ht="16.5" customHeight="1">
      <c r="B44" s="129" t="s">
        <v>355</v>
      </c>
      <c r="C44" s="280" t="s">
        <v>356</v>
      </c>
      <c r="D44" s="280"/>
      <c r="E44" s="138">
        <f>PERC_SEBRAE</f>
        <v>0.6</v>
      </c>
      <c r="F44" s="136">
        <f>PERC_SEBRAE%*(MOD_1_REMUNERACAO+SUBMOD_2_1_DEC_TERC_ADIC_FERIAS)</f>
        <v>16.375753333333332</v>
      </c>
    </row>
    <row r="45" spans="2:6" s="83" customFormat="1" ht="16.5" customHeight="1">
      <c r="B45" s="129" t="s">
        <v>357</v>
      </c>
      <c r="C45" s="293" t="s">
        <v>358</v>
      </c>
      <c r="D45" s="293"/>
      <c r="E45" s="133">
        <f>PERC_INCRA</f>
        <v>0.2</v>
      </c>
      <c r="F45" s="134">
        <f>PERC_INCRA%*(MOD_1_REMUNERACAO+SUBMOD_2_1_DEC_TERC_ADIC_FERIAS)</f>
        <v>5.458584444444444</v>
      </c>
    </row>
    <row r="46" spans="2:6" ht="16.5" customHeight="1">
      <c r="B46" s="129" t="s">
        <v>359</v>
      </c>
      <c r="C46" s="280" t="s">
        <v>360</v>
      </c>
      <c r="D46" s="280"/>
      <c r="E46" s="138">
        <f>PERC_FGTS</f>
        <v>8</v>
      </c>
      <c r="F46" s="136">
        <f>PERC_FGTS%*(MOD_1_REMUNERACAO+SUBMOD_2_1_DEC_TERC_ADIC_FERIAS)</f>
        <v>218.34337777777776</v>
      </c>
    </row>
    <row r="47" spans="2:6">
      <c r="B47" s="295" t="s">
        <v>361</v>
      </c>
      <c r="C47" s="295"/>
      <c r="D47" s="295"/>
      <c r="E47" s="295"/>
      <c r="F47" s="139">
        <f>SUM(F39:F46)</f>
        <v>1004.3795377777777</v>
      </c>
    </row>
    <row r="48" spans="2:6" ht="15.75" customHeight="1">
      <c r="B48" s="128" t="s">
        <v>400</v>
      </c>
      <c r="C48" s="83"/>
      <c r="D48" s="83"/>
      <c r="E48" s="83"/>
      <c r="F48" s="83"/>
    </row>
    <row r="49" spans="2:7" ht="15.75" customHeight="1">
      <c r="B49" s="118" t="s">
        <v>401</v>
      </c>
      <c r="C49" s="289" t="s">
        <v>402</v>
      </c>
      <c r="D49" s="289"/>
      <c r="E49" s="289"/>
      <c r="F49" s="129" t="s">
        <v>446</v>
      </c>
    </row>
    <row r="50" spans="2:7" ht="16.350000000000001" customHeight="1">
      <c r="B50" s="116" t="s">
        <v>338</v>
      </c>
      <c r="C50" s="293" t="s">
        <v>452</v>
      </c>
      <c r="D50" s="293"/>
      <c r="E50" s="293"/>
      <c r="F50" s="134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94" customFormat="1" ht="16.5" customHeight="1">
      <c r="B51" s="116" t="s">
        <v>341</v>
      </c>
      <c r="C51" s="280" t="s">
        <v>453</v>
      </c>
      <c r="D51" s="280"/>
      <c r="E51" s="280"/>
      <c r="F51" s="136">
        <v>416.46</v>
      </c>
      <c r="G51" s="140"/>
    </row>
    <row r="52" spans="2:7" s="94" customFormat="1">
      <c r="B52" s="116" t="s">
        <v>349</v>
      </c>
      <c r="C52" s="290" t="str">
        <f>OUTROS_BENEFICIOS_1_DESCRICAO</f>
        <v>Outros Benefícios 1 (Especificar)</v>
      </c>
      <c r="D52" s="290"/>
      <c r="E52" s="290"/>
      <c r="F52" s="134">
        <v>0</v>
      </c>
    </row>
    <row r="53" spans="2:7" s="94" customFormat="1">
      <c r="B53" s="116" t="s">
        <v>351</v>
      </c>
      <c r="C53" s="294" t="str">
        <f>OUTROS_BENEFICIOS_2_DESCRICAO</f>
        <v>Outros Benefícios 2 (Especificar)</v>
      </c>
      <c r="D53" s="294"/>
      <c r="E53" s="294"/>
      <c r="F53" s="136">
        <f>OUTROS_BENEFICIOS_2</f>
        <v>0</v>
      </c>
    </row>
    <row r="54" spans="2:7" s="94" customFormat="1">
      <c r="B54" s="116" t="s">
        <v>353</v>
      </c>
      <c r="C54" s="290" t="str">
        <f>OUTROS_BENEFICIOS_3_DESCRICAO</f>
        <v>Outros Benefícios 3 (Especificar)</v>
      </c>
      <c r="D54" s="290"/>
      <c r="E54" s="290"/>
      <c r="F54" s="134">
        <f>OUTROS_BENEFICIOS_3</f>
        <v>0</v>
      </c>
    </row>
    <row r="55" spans="2:7" s="94" customFormat="1" ht="15" customHeight="1">
      <c r="B55" s="289" t="s">
        <v>361</v>
      </c>
      <c r="C55" s="289"/>
      <c r="D55" s="289"/>
      <c r="E55" s="289"/>
      <c r="F55" s="132">
        <f>SUM(F50:F54)</f>
        <v>479.08939999999996</v>
      </c>
    </row>
    <row r="56" spans="2:7" s="94" customFormat="1">
      <c r="B56" s="128" t="s">
        <v>362</v>
      </c>
      <c r="C56" s="86"/>
      <c r="D56" s="87"/>
      <c r="E56" s="88"/>
      <c r="F56" s="88"/>
    </row>
    <row r="57" spans="2:7" s="94" customFormat="1" ht="15" customHeight="1">
      <c r="B57" s="118">
        <v>3</v>
      </c>
      <c r="C57" s="295" t="s">
        <v>363</v>
      </c>
      <c r="D57" s="295"/>
      <c r="E57" s="129" t="s">
        <v>336</v>
      </c>
      <c r="F57" s="129" t="s">
        <v>446</v>
      </c>
    </row>
    <row r="58" spans="2:7" s="94" customFormat="1">
      <c r="B58" s="118" t="s">
        <v>338</v>
      </c>
      <c r="C58" s="297" t="s">
        <v>364</v>
      </c>
      <c r="D58" s="297"/>
      <c r="E58" s="133">
        <f>PERC_AVISO_PREVIO_IND</f>
        <v>0.29105124999999998</v>
      </c>
      <c r="F58" s="134">
        <f>PERC_AVISO_PREVIO_IND%*(MOD_1_REMUNERACAO+SUBMOD_2_1_DEC_TERC_ADIC_FERIAS+AL_2_2_FGTS+SUBMOD_2_3_BENEFICIOS)</f>
        <v>9.9735259465624981</v>
      </c>
    </row>
    <row r="59" spans="2:7" s="94" customFormat="1">
      <c r="B59" s="129" t="s">
        <v>341</v>
      </c>
      <c r="C59" s="298" t="s">
        <v>366</v>
      </c>
      <c r="D59" s="298"/>
      <c r="E59" s="138">
        <f>PERC_AVISO_PREVIO_TRAB</f>
        <v>1.15572693055556</v>
      </c>
      <c r="F59" s="136">
        <f>PERC_AVISO_PREVIO_TRAB%*(MOD_1_REMUNERACAO+SUBMOD_2_1_DEC_TERC_ADIC_FERIAS+SUBMOD_2_2_GPS_FGTS+SUBMOD_2_3_BENEFICIOS)</f>
        <v>48.688015246104804</v>
      </c>
    </row>
    <row r="60" spans="2:7" s="83" customFormat="1">
      <c r="B60" s="129" t="s">
        <v>349</v>
      </c>
      <c r="C60" s="297" t="s">
        <v>368</v>
      </c>
      <c r="D60" s="297"/>
      <c r="E60" s="133">
        <f>PERC_MULTA_FGTS_AV_PREV_TRAB</f>
        <v>0.04</v>
      </c>
      <c r="F60" s="134">
        <f>PERC_MULTA_FGTS_AV_PREV_TRAB%*(MOD_1_REMUNERACAO+SUBMOD_2_1_DEC_TERC_ADIC_FERIAS)</f>
        <v>1.0917168888888888</v>
      </c>
    </row>
    <row r="61" spans="2:7" s="83" customFormat="1">
      <c r="B61" s="295" t="s">
        <v>361</v>
      </c>
      <c r="C61" s="295"/>
      <c r="D61" s="295"/>
      <c r="E61" s="295"/>
      <c r="F61" s="137">
        <f>SUM(F58:F60)</f>
        <v>59.75325808155619</v>
      </c>
    </row>
    <row r="62" spans="2:7" ht="7.5" customHeight="1">
      <c r="B62" s="141"/>
      <c r="D62" s="142"/>
      <c r="E62" s="99"/>
      <c r="F62" s="99"/>
    </row>
    <row r="63" spans="2:7" s="83" customFormat="1" ht="15.95" customHeight="1">
      <c r="B63" s="128" t="s">
        <v>370</v>
      </c>
      <c r="C63" s="86"/>
      <c r="D63" s="87"/>
      <c r="E63" s="82"/>
      <c r="F63" s="82"/>
    </row>
    <row r="64" spans="2:7" s="83" customFormat="1" ht="15.95" customHeight="1">
      <c r="B64" s="128" t="s">
        <v>371</v>
      </c>
      <c r="C64" s="86"/>
      <c r="D64" s="87"/>
      <c r="E64" s="88"/>
      <c r="F64" s="88"/>
    </row>
    <row r="65" spans="2:6" s="83" customFormat="1" ht="16.5" customHeight="1">
      <c r="B65" s="118" t="s">
        <v>372</v>
      </c>
      <c r="C65" s="289" t="s">
        <v>373</v>
      </c>
      <c r="D65" s="289"/>
      <c r="E65" s="129" t="s">
        <v>336</v>
      </c>
      <c r="F65" s="129" t="s">
        <v>446</v>
      </c>
    </row>
    <row r="66" spans="2:6" s="83" customFormat="1" ht="15.95" customHeight="1">
      <c r="B66" s="129" t="s">
        <v>338</v>
      </c>
      <c r="C66" s="293" t="s">
        <v>374</v>
      </c>
      <c r="D66" s="293"/>
      <c r="E66" s="133">
        <f>PERC_SUBSTITUTO_FERIAS</f>
        <v>8.3333333333333321</v>
      </c>
      <c r="F66" s="134">
        <f>PERC_SUBSTITUTO_FERIAS%*(MOD_1_REMUNERACAO+MOD_2_ENCARGOS_BENEFICIOS+MOD_3_PROVISAO_RESCISAO)</f>
        <v>356.04286817346292</v>
      </c>
    </row>
    <row r="67" spans="2:6" s="83" customFormat="1" ht="15.95" customHeight="1">
      <c r="B67" s="129" t="s">
        <v>341</v>
      </c>
      <c r="C67" s="280" t="s">
        <v>376</v>
      </c>
      <c r="D67" s="280"/>
      <c r="E67" s="138">
        <f>PERC_SUBSTITUTO_AUSENCIAS_LEGAIS</f>
        <v>2.2222222222222223</v>
      </c>
      <c r="F67" s="136">
        <f>PERC_SUBSTITUTO_AUSENCIAS_LEGAIS%*(MOD_1_REMUNERACAO+MOD_2_ENCARGOS_BENEFICIOS+MOD_3_PROVISAO_RESCISAO)</f>
        <v>94.944764846256803</v>
      </c>
    </row>
    <row r="68" spans="2:6" s="83" customFormat="1" ht="15.95" customHeight="1">
      <c r="B68" s="129" t="s">
        <v>349</v>
      </c>
      <c r="C68" s="293" t="s">
        <v>378</v>
      </c>
      <c r="D68" s="293"/>
      <c r="E68" s="133">
        <f>PERC_SUBSTITUTO_LICENCA_PATERNIDADE</f>
        <v>3.5673555555555549E-2</v>
      </c>
      <c r="F68" s="134">
        <f>PERC_SUBSTITUTO_LICENCA_PATERNIDADE%*(MOD_1_REMUNERACAO+MOD_2_ENCARGOS_BENEFICIOS+MOD_3_PROVISAO_RESCISAO)</f>
        <v>1.5241578045534447</v>
      </c>
    </row>
    <row r="69" spans="2:6" s="83" customFormat="1" ht="16.5" customHeight="1">
      <c r="B69" s="129" t="s">
        <v>351</v>
      </c>
      <c r="C69" s="280" t="s">
        <v>380</v>
      </c>
      <c r="D69" s="280"/>
      <c r="E69" s="138">
        <f>PERC_SUBSTITUTO_ACID_TRAB</f>
        <v>1.85302229372558E-2</v>
      </c>
      <c r="F69" s="136">
        <f>PERC_SUBSTITUTO_ACID_TRAB%*(MOD_1_REMUNERACAO+MOD_2_ENCARGOS_BENEFICIOS+MOD_3_PROVISAO_RESCISAO)</f>
        <v>0.79170644669690959</v>
      </c>
    </row>
    <row r="70" spans="2:6" s="83" customFormat="1" ht="16.5" customHeight="1">
      <c r="B70" s="129" t="s">
        <v>353</v>
      </c>
      <c r="C70" s="293" t="s">
        <v>382</v>
      </c>
      <c r="D70" s="293"/>
      <c r="E70" s="133">
        <f>PERC_SUBSTITUTO_AFAST_MATERN</f>
        <v>0.14312918399999999</v>
      </c>
      <c r="F70" s="134">
        <f>PERC_SUBSTITUTO_AFAST_MATERN%*(MOD_1_REMUNERACAO+MOD_2_ENCARGOS_BENEFICIOS+MOD_3_PROVISAO_RESCISAO)</f>
        <v>6.11521502288248</v>
      </c>
    </row>
    <row r="71" spans="2:6" s="83" customFormat="1">
      <c r="B71" s="129" t="s">
        <v>355</v>
      </c>
      <c r="C71" s="300" t="str">
        <f>OUTRAS_AUSENCIAS_DESCRICAO</f>
        <v>Outras Ausências (Especificar - em %)</v>
      </c>
      <c r="D71" s="300"/>
      <c r="E71" s="143">
        <f>PERC_SUBSTITUTO_OUTRAS_AUSENCIAS</f>
        <v>0</v>
      </c>
      <c r="F71" s="136">
        <f>PERC_SUBSTITUTO_OUTRAS_AUSENCIAS%*(MOD_1_REMUNERACAO+MOD_2_ENCARGOS_BENEFICIOS+MOD_3_PROVISAO_RESCISAO)</f>
        <v>0</v>
      </c>
    </row>
    <row r="72" spans="2:6" s="83" customFormat="1">
      <c r="B72" s="295" t="s">
        <v>361</v>
      </c>
      <c r="C72" s="295"/>
      <c r="D72" s="295"/>
      <c r="E72" s="295"/>
      <c r="F72" s="137">
        <f>SUM(F66:F71)</f>
        <v>459.41871229385259</v>
      </c>
    </row>
    <row r="73" spans="2:6" s="83" customFormat="1" ht="15" customHeight="1">
      <c r="B73" s="128" t="s">
        <v>454</v>
      </c>
      <c r="C73" s="86"/>
      <c r="D73" s="87"/>
      <c r="E73" s="88"/>
      <c r="F73" s="88"/>
    </row>
    <row r="74" spans="2:6" s="83" customFormat="1">
      <c r="B74" s="118" t="s">
        <v>421</v>
      </c>
      <c r="C74" s="295" t="s">
        <v>455</v>
      </c>
      <c r="D74" s="295"/>
      <c r="E74" s="295"/>
      <c r="F74" s="129" t="s">
        <v>446</v>
      </c>
    </row>
    <row r="75" spans="2:6" s="83" customFormat="1" ht="16.5" customHeight="1">
      <c r="B75" s="118" t="s">
        <v>338</v>
      </c>
      <c r="C75" s="293" t="s">
        <v>456</v>
      </c>
      <c r="D75" s="293"/>
      <c r="E75" s="293"/>
      <c r="F75" s="130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83" customFormat="1">
      <c r="B76" s="295" t="s">
        <v>361</v>
      </c>
      <c r="C76" s="295"/>
      <c r="D76" s="295"/>
      <c r="E76" s="295"/>
      <c r="F76" s="137">
        <f>SUM(F75)</f>
        <v>0</v>
      </c>
    </row>
    <row r="77" spans="2:6" ht="7.5" customHeight="1">
      <c r="B77" s="141"/>
      <c r="D77" s="142"/>
      <c r="E77" s="99"/>
      <c r="F77" s="99"/>
    </row>
    <row r="78" spans="2:6">
      <c r="B78" s="128" t="s">
        <v>457</v>
      </c>
      <c r="C78" s="86"/>
      <c r="D78" s="86"/>
      <c r="E78" s="88"/>
      <c r="F78" s="88"/>
    </row>
    <row r="79" spans="2:6" ht="15.75" customHeight="1">
      <c r="B79" s="144">
        <v>5</v>
      </c>
      <c r="C79" s="301" t="s">
        <v>458</v>
      </c>
      <c r="D79" s="301"/>
      <c r="E79" s="301"/>
      <c r="F79" s="145" t="s">
        <v>446</v>
      </c>
    </row>
    <row r="80" spans="2:6" ht="16.5" customHeight="1">
      <c r="B80" s="146" t="s">
        <v>338</v>
      </c>
      <c r="C80" s="302" t="s">
        <v>459</v>
      </c>
      <c r="D80" s="302"/>
      <c r="E80" s="302"/>
      <c r="F80" s="147">
        <f>[1]Uniforme!B9</f>
        <v>115.05</v>
      </c>
    </row>
    <row r="81" spans="2:6" ht="16.5" customHeight="1">
      <c r="B81" s="146" t="s">
        <v>341</v>
      </c>
      <c r="C81" s="299" t="s">
        <v>488</v>
      </c>
      <c r="D81" s="299"/>
      <c r="E81" s="299"/>
      <c r="F81" s="148">
        <v>171.6</v>
      </c>
    </row>
    <row r="82" spans="2:6" ht="16.5" customHeight="1">
      <c r="B82" s="146" t="s">
        <v>349</v>
      </c>
      <c r="C82" s="302" t="s">
        <v>489</v>
      </c>
      <c r="D82" s="302"/>
      <c r="E82" s="302"/>
      <c r="F82" s="147">
        <v>235.4</v>
      </c>
    </row>
    <row r="83" spans="2:6" ht="16.350000000000001" customHeight="1">
      <c r="B83" s="146" t="s">
        <v>351</v>
      </c>
      <c r="C83" s="303" t="s">
        <v>462</v>
      </c>
      <c r="D83" s="303"/>
      <c r="E83" s="303"/>
      <c r="F83" s="148">
        <v>0</v>
      </c>
    </row>
    <row r="84" spans="2:6" ht="16.5" customHeight="1">
      <c r="B84" s="301" t="s">
        <v>361</v>
      </c>
      <c r="C84" s="301"/>
      <c r="D84" s="301"/>
      <c r="E84" s="301"/>
      <c r="F84" s="149">
        <f>SUM(F80:F83)</f>
        <v>522.04999999999995</v>
      </c>
    </row>
    <row r="85" spans="2:6" ht="7.5" customHeight="1">
      <c r="B85" s="141"/>
      <c r="D85" s="142"/>
      <c r="E85" s="99"/>
      <c r="F85" s="99"/>
    </row>
    <row r="86" spans="2:6" ht="15" customHeight="1">
      <c r="B86" s="304" t="s">
        <v>463</v>
      </c>
      <c r="C86" s="304"/>
      <c r="D86" s="304"/>
      <c r="E86" s="304"/>
      <c r="F86" s="304"/>
    </row>
    <row r="87" spans="2:6">
      <c r="B87" s="118">
        <v>6</v>
      </c>
      <c r="C87" s="295" t="s">
        <v>464</v>
      </c>
      <c r="D87" s="295"/>
      <c r="E87" s="129" t="s">
        <v>336</v>
      </c>
      <c r="F87" s="129" t="s">
        <v>446</v>
      </c>
    </row>
    <row r="88" spans="2:6" ht="16.5" customHeight="1">
      <c r="B88" s="118" t="s">
        <v>338</v>
      </c>
      <c r="C88" s="293" t="s">
        <v>465</v>
      </c>
      <c r="D88" s="293"/>
      <c r="E88" s="150">
        <f>PERC_CUSTOS_INDIRETOS</f>
        <v>5.1533333333333298</v>
      </c>
      <c r="F88" s="134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129" t="s">
        <v>341</v>
      </c>
      <c r="C89" s="280" t="s">
        <v>466</v>
      </c>
      <c r="D89" s="280"/>
      <c r="E89" s="151">
        <f>PERC_LUCRO</f>
        <v>5.0466666666666704</v>
      </c>
      <c r="F89" s="136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129" t="s">
        <v>349</v>
      </c>
      <c r="C90" s="293" t="s">
        <v>467</v>
      </c>
      <c r="D90" s="293"/>
      <c r="E90" s="152">
        <f>SUM(E91:E93)</f>
        <v>8.6499999999999994E-2</v>
      </c>
      <c r="F90" s="134">
        <f>SUM(F91:F93)</f>
        <v>522.91143396732696</v>
      </c>
    </row>
    <row r="91" spans="2:6" ht="15.75" customHeight="1">
      <c r="B91" s="153" t="s">
        <v>468</v>
      </c>
      <c r="C91" s="305" t="s">
        <v>20</v>
      </c>
      <c r="D91" s="305"/>
      <c r="E91" s="154">
        <v>6.4999999999999997E-3</v>
      </c>
      <c r="F91" s="155">
        <f>(($F$30+$F$36+$F$47+$F$55+$F$61+$F$72+$F$76+$F$84+$F$88+$F$89)*E91)/(1-E91)</f>
        <v>37.969902279458189</v>
      </c>
    </row>
    <row r="92" spans="2:6" ht="16.5" customHeight="1">
      <c r="B92" s="153" t="s">
        <v>469</v>
      </c>
      <c r="C92" s="306" t="s">
        <v>470</v>
      </c>
      <c r="D92" s="306"/>
      <c r="E92" s="156">
        <v>0.03</v>
      </c>
      <c r="F92" s="157">
        <f>(($F$30+$F$36+$F$47+$F$55+$F$61+$F$72+$F$76+$F$84+$F$88+$F$89)*E92)/(1-E92)</f>
        <v>179.49134614421118</v>
      </c>
    </row>
    <row r="93" spans="2:6" s="158" customFormat="1" ht="16.5" customHeight="1">
      <c r="B93" s="153" t="s">
        <v>471</v>
      </c>
      <c r="C93" s="305" t="s">
        <v>472</v>
      </c>
      <c r="D93" s="305"/>
      <c r="E93" s="154">
        <v>0.05</v>
      </c>
      <c r="F93" s="155">
        <f>(($F$30+$F$36+$F$47+$F$55+$F$61+$F$72+$F$76+$F$84+$F$88+$F$89)*E93)/(1-E93)</f>
        <v>305.45018554365765</v>
      </c>
    </row>
    <row r="94" spans="2:6" s="158" customFormat="1">
      <c r="B94" s="295" t="s">
        <v>361</v>
      </c>
      <c r="C94" s="295"/>
      <c r="D94" s="295"/>
      <c r="E94" s="295"/>
      <c r="F94" s="159">
        <f>AL_6_A_CUSTOS_INDIRETOS+AL_6_B_LUCRO+AL_6_C_TRIBUTOS</f>
        <v>1072.4818289214124</v>
      </c>
    </row>
    <row r="95" spans="2:6" s="158" customFormat="1" ht="20.25">
      <c r="B95" s="160" t="s">
        <v>473</v>
      </c>
      <c r="C95" s="161"/>
      <c r="D95" s="161"/>
      <c r="E95" s="161"/>
      <c r="F95" s="162"/>
    </row>
    <row r="96" spans="2:6" s="163" customFormat="1" ht="16.5" customHeight="1">
      <c r="B96" s="129" t="s">
        <v>474</v>
      </c>
      <c r="C96" s="289" t="s">
        <v>475</v>
      </c>
      <c r="D96" s="289"/>
      <c r="E96" s="289"/>
      <c r="F96" s="129" t="s">
        <v>476</v>
      </c>
    </row>
    <row r="97" spans="2:6" s="158" customFormat="1" ht="16.5" customHeight="1">
      <c r="B97" s="118">
        <v>1</v>
      </c>
      <c r="C97" s="293" t="s">
        <v>388</v>
      </c>
      <c r="D97" s="293"/>
      <c r="E97" s="293"/>
      <c r="F97" s="134">
        <f>MOD_1_REMUNERACAO</f>
        <v>2456.3629999999998</v>
      </c>
    </row>
    <row r="98" spans="2:6" s="164" customFormat="1" ht="16.5" customHeight="1">
      <c r="B98" s="129">
        <v>2</v>
      </c>
      <c r="C98" s="280" t="s">
        <v>477</v>
      </c>
      <c r="D98" s="280"/>
      <c r="E98" s="280"/>
      <c r="F98" s="136">
        <f>MOD_2_ENCARGOS_BENEFICIOS</f>
        <v>1756.3981599999997</v>
      </c>
    </row>
    <row r="99" spans="2:6" s="164" customFormat="1" ht="16.5" customHeight="1">
      <c r="B99" s="129">
        <v>3</v>
      </c>
      <c r="C99" s="293" t="s">
        <v>363</v>
      </c>
      <c r="D99" s="293"/>
      <c r="E99" s="293"/>
      <c r="F99" s="134">
        <f>MOD_3_PROVISAO_RESCISAO</f>
        <v>59.75325808155619</v>
      </c>
    </row>
    <row r="100" spans="2:6" s="164" customFormat="1" ht="16.5" customHeight="1">
      <c r="B100" s="129">
        <v>4</v>
      </c>
      <c r="C100" s="280" t="s">
        <v>478</v>
      </c>
      <c r="D100" s="280"/>
      <c r="E100" s="280"/>
      <c r="F100" s="136">
        <f>MOD_4_CUSTO_REPOSICAO</f>
        <v>459.41871229385259</v>
      </c>
    </row>
    <row r="101" spans="2:6" s="164" customFormat="1" ht="16.5" customHeight="1">
      <c r="B101" s="129">
        <v>5</v>
      </c>
      <c r="C101" s="293" t="s">
        <v>458</v>
      </c>
      <c r="D101" s="293"/>
      <c r="E101" s="293"/>
      <c r="F101" s="134">
        <f>MOD_5_INSUMOS</f>
        <v>522.04999999999995</v>
      </c>
    </row>
    <row r="102" spans="2:6" s="164" customFormat="1" ht="16.5" customHeight="1">
      <c r="B102" s="129">
        <v>6</v>
      </c>
      <c r="C102" s="280" t="s">
        <v>464</v>
      </c>
      <c r="D102" s="280"/>
      <c r="E102" s="280"/>
      <c r="F102" s="136">
        <f>MOD_6_CUSTOS_IND_LUCRO_TRIB</f>
        <v>1072.4818289214124</v>
      </c>
    </row>
    <row r="103" spans="2:6" ht="16.5" customHeight="1">
      <c r="B103" s="307" t="s">
        <v>479</v>
      </c>
      <c r="C103" s="307"/>
      <c r="D103" s="307"/>
      <c r="E103" s="307"/>
      <c r="F103" s="165">
        <f>SUM(F97:F102)</f>
        <v>6326.4649592968217</v>
      </c>
    </row>
    <row r="104" spans="2:6" ht="16.5" customHeight="1">
      <c r="B104" s="308" t="s">
        <v>480</v>
      </c>
      <c r="C104" s="308"/>
      <c r="D104" s="308"/>
      <c r="E104" s="308"/>
      <c r="F104" s="166">
        <f>VALOR_TOTAL_EMPREGADO*EMPREG_POR_POSTO</f>
        <v>0</v>
      </c>
    </row>
    <row r="105" spans="2:6" ht="16.5" customHeight="1">
      <c r="B105" s="308" t="s">
        <v>481</v>
      </c>
      <c r="C105" s="308"/>
      <c r="D105" s="308"/>
      <c r="E105" s="308"/>
      <c r="F105" s="166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F3D-5F90-4320-9AAC-E05FCE594EE2}">
  <dimension ref="A1:AMJ106"/>
  <sheetViews>
    <sheetView showGridLines="0" zoomScale="140" zoomScaleNormal="140" workbookViewId="0">
      <selection activeCell="G96" sqref="G96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7.85546875" style="82" customWidth="1"/>
    <col min="5" max="5" width="13.5703125" style="82" customWidth="1"/>
    <col min="6" max="6" width="19.7109375" style="82" customWidth="1"/>
    <col min="7" max="7" width="11.85546875" style="82" customWidth="1"/>
    <col min="8" max="1024" width="9.140625" style="82"/>
  </cols>
  <sheetData>
    <row r="1" spans="2:6" customFormat="1" ht="20.25">
      <c r="B1" s="309" t="s">
        <v>68</v>
      </c>
      <c r="C1" s="310"/>
      <c r="D1" s="310"/>
      <c r="E1" s="310"/>
      <c r="F1" s="311"/>
    </row>
    <row r="2" spans="2:6" customFormat="1" ht="20.25">
      <c r="B2" s="272" t="s">
        <v>426</v>
      </c>
      <c r="C2" s="272"/>
      <c r="D2" s="272"/>
      <c r="E2" s="112" t="s">
        <v>427</v>
      </c>
      <c r="F2" s="167" t="str">
        <f>DATA_DO_ORCAMENTO_ESTIMATIVO</f>
        <v>XX/XX/20XX</v>
      </c>
    </row>
    <row r="3" spans="2:6" s="83" customFormat="1" ht="25.5">
      <c r="B3" s="273" t="s">
        <v>428</v>
      </c>
      <c r="C3" s="273"/>
      <c r="D3" s="273"/>
      <c r="E3" s="273"/>
      <c r="F3" s="273"/>
    </row>
    <row r="4" spans="2:6" s="83" customFormat="1" ht="15.95" customHeight="1">
      <c r="B4" s="274" t="s">
        <v>5</v>
      </c>
      <c r="C4" s="274"/>
      <c r="D4" s="274"/>
      <c r="E4" s="274"/>
      <c r="F4" s="274"/>
    </row>
    <row r="5" spans="2:6" s="83" customFormat="1" ht="15.95" customHeight="1">
      <c r="B5" s="270" t="s">
        <v>6</v>
      </c>
      <c r="C5" s="270"/>
      <c r="D5" s="275" t="s">
        <v>28</v>
      </c>
      <c r="E5" s="275"/>
      <c r="F5" s="275"/>
    </row>
    <row r="6" spans="2:6" s="83" customFormat="1" ht="15.75" customHeight="1">
      <c r="B6" s="276" t="s">
        <v>7</v>
      </c>
      <c r="C6" s="276"/>
      <c r="D6" s="277" t="str">
        <f>MODALIDADE_DE_LICITACAO</f>
        <v>Pregão nº</v>
      </c>
      <c r="E6" s="277"/>
      <c r="F6" s="115" t="s">
        <v>429</v>
      </c>
    </row>
    <row r="7" spans="2:6" s="83" customFormat="1" ht="15.75" customHeight="1">
      <c r="B7" s="278" t="s">
        <v>430</v>
      </c>
      <c r="C7" s="278"/>
      <c r="D7" s="278"/>
      <c r="E7" s="278"/>
      <c r="F7" s="278"/>
    </row>
    <row r="8" spans="2:6" s="83" customFormat="1" ht="18" customHeight="1">
      <c r="B8" s="168" t="s">
        <v>338</v>
      </c>
      <c r="C8" s="270" t="s">
        <v>431</v>
      </c>
      <c r="D8" s="270"/>
      <c r="E8" s="270"/>
      <c r="F8" s="169" t="str">
        <f>DATA_APRESENTACAO_PROPOSTA</f>
        <v>XX/XX/20XX</v>
      </c>
    </row>
    <row r="9" spans="2:6" s="83" customFormat="1" ht="15.95" customHeight="1">
      <c r="B9" s="170" t="s">
        <v>341</v>
      </c>
      <c r="C9" s="119" t="s">
        <v>432</v>
      </c>
      <c r="D9" s="279" t="s">
        <v>484</v>
      </c>
      <c r="E9" s="279"/>
      <c r="F9" s="279"/>
    </row>
    <row r="10" spans="2:6" s="83" customFormat="1" ht="18.75" customHeight="1">
      <c r="B10" s="168" t="s">
        <v>349</v>
      </c>
      <c r="C10" s="270" t="s">
        <v>433</v>
      </c>
      <c r="D10" s="270"/>
      <c r="E10" s="270"/>
      <c r="F10" s="169" t="s">
        <v>434</v>
      </c>
    </row>
    <row r="11" spans="2:6" s="83" customFormat="1" ht="15.95" customHeight="1">
      <c r="B11" s="170" t="s">
        <v>351</v>
      </c>
      <c r="C11" s="281" t="s">
        <v>435</v>
      </c>
      <c r="D11" s="281"/>
      <c r="E11" s="281"/>
      <c r="F11" s="120">
        <f>NUMERO_MESES_EXEC_CONTRATUAL</f>
        <v>12</v>
      </c>
    </row>
    <row r="12" spans="2:6" s="83" customFormat="1">
      <c r="B12" s="170" t="s">
        <v>353</v>
      </c>
      <c r="C12" s="282" t="s">
        <v>436</v>
      </c>
      <c r="D12" s="282"/>
      <c r="E12" s="282"/>
      <c r="F12" s="114">
        <v>1</v>
      </c>
    </row>
    <row r="13" spans="2:6" s="123" customFormat="1" ht="15" customHeight="1">
      <c r="B13" s="121" t="s">
        <v>437</v>
      </c>
      <c r="C13" s="122"/>
      <c r="D13" s="122"/>
      <c r="E13" s="122"/>
      <c r="F13" s="122"/>
    </row>
    <row r="14" spans="2:6" s="83" customFormat="1">
      <c r="B14" s="168">
        <v>1</v>
      </c>
      <c r="C14" s="270" t="s">
        <v>438</v>
      </c>
      <c r="D14" s="270"/>
      <c r="E14" s="283" t="s">
        <v>439</v>
      </c>
      <c r="F14" s="283"/>
    </row>
    <row r="15" spans="2:6" s="83" customFormat="1">
      <c r="B15" s="168">
        <v>2</v>
      </c>
      <c r="C15" s="124" t="s">
        <v>440</v>
      </c>
      <c r="D15" s="284" t="s">
        <v>441</v>
      </c>
      <c r="E15" s="284"/>
      <c r="F15" s="284"/>
    </row>
    <row r="16" spans="2:6" s="83" customFormat="1" ht="15" customHeight="1">
      <c r="B16" s="168">
        <v>3</v>
      </c>
      <c r="C16" s="125" t="s">
        <v>442</v>
      </c>
      <c r="D16" s="275" t="str">
        <f>IF(CATEGORIA_PROFISSIONAL="","",CATEGORIA_PROFISSIONAL)</f>
        <v/>
      </c>
      <c r="E16" s="275"/>
      <c r="F16" s="275"/>
    </row>
    <row r="17" spans="2:6" s="83" customFormat="1" ht="15" customHeight="1">
      <c r="B17" s="168">
        <v>4</v>
      </c>
      <c r="C17" s="276" t="s">
        <v>443</v>
      </c>
      <c r="D17" s="276"/>
      <c r="E17" s="276"/>
      <c r="F17" s="171">
        <v>44774</v>
      </c>
    </row>
    <row r="18" spans="2:6" s="127" customFormat="1" ht="20.25" customHeight="1">
      <c r="B18" s="285" t="s">
        <v>444</v>
      </c>
      <c r="C18" s="285"/>
      <c r="D18" s="285"/>
      <c r="E18" s="285"/>
      <c r="F18" s="285"/>
    </row>
    <row r="19" spans="2:6" customFormat="1">
      <c r="B19" s="315" t="s">
        <v>445</v>
      </c>
      <c r="C19" s="316"/>
      <c r="D19" s="316"/>
      <c r="E19" s="316"/>
      <c r="F19" s="317"/>
    </row>
    <row r="20" spans="2:6" customFormat="1">
      <c r="B20" s="128" t="s">
        <v>387</v>
      </c>
      <c r="C20" s="82"/>
      <c r="D20" s="82"/>
      <c r="E20" s="99"/>
      <c r="F20" s="99"/>
    </row>
    <row r="21" spans="2:6" customFormat="1" ht="16.5" customHeight="1">
      <c r="B21" s="170">
        <v>1</v>
      </c>
      <c r="C21" s="318" t="s">
        <v>388</v>
      </c>
      <c r="D21" s="319"/>
      <c r="E21" s="320"/>
      <c r="F21" s="172" t="s">
        <v>446</v>
      </c>
    </row>
    <row r="22" spans="2:6" customFormat="1" ht="16.350000000000001" customHeight="1">
      <c r="B22" s="170" t="s">
        <v>338</v>
      </c>
      <c r="C22" s="321" t="s">
        <v>447</v>
      </c>
      <c r="D22" s="322"/>
      <c r="E22" s="323"/>
      <c r="F22" s="173"/>
    </row>
    <row r="23" spans="2:6" customFormat="1" ht="16.5" customHeight="1">
      <c r="B23" s="170" t="s">
        <v>341</v>
      </c>
      <c r="C23" s="324" t="s">
        <v>448</v>
      </c>
      <c r="D23" s="325"/>
      <c r="E23" s="326"/>
      <c r="F23" s="174"/>
    </row>
    <row r="24" spans="2:6" customFormat="1" ht="15.75" customHeight="1">
      <c r="B24" s="170" t="s">
        <v>349</v>
      </c>
      <c r="C24" s="327" t="s">
        <v>449</v>
      </c>
      <c r="D24" s="328"/>
      <c r="E24" s="329"/>
      <c r="F24" s="173"/>
    </row>
    <row r="25" spans="2:6" customFormat="1" ht="15.75" customHeight="1">
      <c r="B25" s="170" t="s">
        <v>351</v>
      </c>
      <c r="C25" s="324" t="s">
        <v>450</v>
      </c>
      <c r="D25" s="325"/>
      <c r="E25" s="326"/>
      <c r="F25" s="174"/>
    </row>
    <row r="26" spans="2:6" customFormat="1" ht="15.75" customHeight="1">
      <c r="B26" s="170" t="s">
        <v>353</v>
      </c>
      <c r="C26" s="330" t="s">
        <v>451</v>
      </c>
      <c r="D26" s="331"/>
      <c r="E26" s="332"/>
      <c r="F26" s="173"/>
    </row>
    <row r="27" spans="2:6" customFormat="1">
      <c r="B27" s="170" t="s">
        <v>355</v>
      </c>
      <c r="C27" s="312" t="str">
        <f>OUTROS_REMUNERACAO_1_DESCRICAO</f>
        <v>Outras Remunerações 1 (Especificar)</v>
      </c>
      <c r="D27" s="313"/>
      <c r="E27" s="314"/>
      <c r="F27" s="174"/>
    </row>
    <row r="28" spans="2:6" customFormat="1">
      <c r="B28" s="170" t="s">
        <v>357</v>
      </c>
      <c r="C28" s="321" t="str">
        <f>OUTROS_REMUNERACAO_2_DESCRICAO</f>
        <v>Outras Remunerações 2 (Especificar)</v>
      </c>
      <c r="D28" s="322"/>
      <c r="E28" s="323"/>
      <c r="F28" s="173"/>
    </row>
    <row r="29" spans="2:6" customFormat="1">
      <c r="B29" s="170" t="s">
        <v>359</v>
      </c>
      <c r="C29" s="312" t="str">
        <f>OUTROS_REMUNERACAO_3_DESCRICAO</f>
        <v>Outras Remunerações 3 (Especificar)</v>
      </c>
      <c r="D29" s="313"/>
      <c r="E29" s="314"/>
      <c r="F29" s="174"/>
    </row>
    <row r="30" spans="2:6" customFormat="1" ht="16.5" customHeight="1">
      <c r="B30" s="333" t="s">
        <v>361</v>
      </c>
      <c r="C30" s="333"/>
      <c r="D30" s="333"/>
      <c r="E30" s="333"/>
      <c r="F30" s="175"/>
    </row>
    <row r="31" spans="2:6" customFormat="1">
      <c r="B31" s="128" t="s">
        <v>332</v>
      </c>
      <c r="C31" s="82"/>
      <c r="D31" s="82"/>
      <c r="E31" s="85"/>
      <c r="F31" s="85"/>
    </row>
    <row r="32" spans="2:6" customFormat="1">
      <c r="B32" s="128" t="s">
        <v>333</v>
      </c>
      <c r="C32" s="86"/>
      <c r="D32" s="87"/>
      <c r="E32" s="88"/>
      <c r="F32" s="88"/>
    </row>
    <row r="33" spans="2:6" customFormat="1">
      <c r="B33" s="170" t="s">
        <v>334</v>
      </c>
      <c r="C33" s="334" t="s">
        <v>335</v>
      </c>
      <c r="D33" s="334"/>
      <c r="E33" s="172" t="s">
        <v>336</v>
      </c>
      <c r="F33" s="172" t="s">
        <v>446</v>
      </c>
    </row>
    <row r="34" spans="2:6" customFormat="1" ht="16.5" customHeight="1">
      <c r="B34" s="170" t="s">
        <v>338</v>
      </c>
      <c r="C34" s="293" t="s">
        <v>339</v>
      </c>
      <c r="D34" s="293"/>
      <c r="E34" s="133">
        <f>PERC_DEC_TERC</f>
        <v>8.3333333333333304</v>
      </c>
      <c r="F34" s="176"/>
    </row>
    <row r="35" spans="2:6" s="82" customFormat="1" ht="16.5" customHeight="1">
      <c r="B35" s="172" t="s">
        <v>341</v>
      </c>
      <c r="C35" s="280" t="s">
        <v>342</v>
      </c>
      <c r="D35" s="280"/>
      <c r="E35" s="135">
        <f>PERC_ADIC_FERIAS</f>
        <v>2.7777777777777799</v>
      </c>
      <c r="F35" s="177"/>
    </row>
    <row r="36" spans="2:6" s="94" customFormat="1">
      <c r="B36" s="334" t="s">
        <v>361</v>
      </c>
      <c r="C36" s="334"/>
      <c r="D36" s="334"/>
      <c r="E36" s="334"/>
      <c r="F36" s="178"/>
    </row>
    <row r="37" spans="2:6" s="94" customFormat="1" ht="31.5" customHeight="1">
      <c r="B37" s="291" t="s">
        <v>344</v>
      </c>
      <c r="C37" s="291"/>
      <c r="D37" s="291"/>
      <c r="E37" s="291"/>
      <c r="F37" s="291"/>
    </row>
    <row r="38" spans="2:6" s="94" customFormat="1" ht="34.5" customHeight="1">
      <c r="B38" s="170" t="s">
        <v>345</v>
      </c>
      <c r="C38" s="335" t="s">
        <v>346</v>
      </c>
      <c r="D38" s="335"/>
      <c r="E38" s="172" t="s">
        <v>336</v>
      </c>
      <c r="F38" s="172" t="s">
        <v>446</v>
      </c>
    </row>
    <row r="39" spans="2:6" customFormat="1" ht="16.5" customHeight="1">
      <c r="B39" s="170" t="s">
        <v>338</v>
      </c>
      <c r="C39" s="293" t="s">
        <v>347</v>
      </c>
      <c r="D39" s="293"/>
      <c r="E39" s="179">
        <f>PERC_INSS</f>
        <v>20</v>
      </c>
      <c r="F39" s="176"/>
    </row>
    <row r="40" spans="2:6" s="83" customFormat="1" ht="16.5" customHeight="1">
      <c r="B40" s="172" t="s">
        <v>341</v>
      </c>
      <c r="C40" s="280" t="s">
        <v>348</v>
      </c>
      <c r="D40" s="280"/>
      <c r="E40" s="180">
        <f>PERC_SAL_EDUCACAO</f>
        <v>2.5</v>
      </c>
      <c r="F40" s="177"/>
    </row>
    <row r="41" spans="2:6" s="83" customFormat="1" ht="16.5" customHeight="1">
      <c r="B41" s="172" t="s">
        <v>349</v>
      </c>
      <c r="C41" s="293" t="s">
        <v>350</v>
      </c>
      <c r="D41" s="293"/>
      <c r="E41" s="179">
        <f>PERC_RAT</f>
        <v>3</v>
      </c>
      <c r="F41" s="176"/>
    </row>
    <row r="42" spans="2:6" s="83" customFormat="1" ht="16.5" customHeight="1">
      <c r="B42" s="172" t="s">
        <v>351</v>
      </c>
      <c r="C42" s="280" t="s">
        <v>352</v>
      </c>
      <c r="D42" s="280"/>
      <c r="E42" s="181">
        <f>PERC_SESC</f>
        <v>1.5</v>
      </c>
      <c r="F42" s="177"/>
    </row>
    <row r="43" spans="2:6" s="83" customFormat="1" ht="16.5" customHeight="1">
      <c r="B43" s="172" t="s">
        <v>353</v>
      </c>
      <c r="C43" s="293" t="s">
        <v>354</v>
      </c>
      <c r="D43" s="293"/>
      <c r="E43" s="179">
        <f>PERC_SENAC</f>
        <v>1</v>
      </c>
      <c r="F43" s="176"/>
    </row>
    <row r="44" spans="2:6" s="83" customFormat="1" ht="16.5" customHeight="1">
      <c r="B44" s="172" t="s">
        <v>355</v>
      </c>
      <c r="C44" s="280" t="s">
        <v>356</v>
      </c>
      <c r="D44" s="280"/>
      <c r="E44" s="180">
        <f>PERC_SEBRAE</f>
        <v>0.6</v>
      </c>
      <c r="F44" s="177"/>
    </row>
    <row r="45" spans="2:6" s="83" customFormat="1" ht="16.5" customHeight="1">
      <c r="B45" s="172" t="s">
        <v>357</v>
      </c>
      <c r="C45" s="293" t="s">
        <v>358</v>
      </c>
      <c r="D45" s="293"/>
      <c r="E45" s="179">
        <f>PERC_INCRA</f>
        <v>0.2</v>
      </c>
      <c r="F45" s="176"/>
    </row>
    <row r="46" spans="2:6" customFormat="1" ht="16.5" customHeight="1">
      <c r="B46" s="172" t="s">
        <v>359</v>
      </c>
      <c r="C46" s="280" t="s">
        <v>360</v>
      </c>
      <c r="D46" s="280"/>
      <c r="E46" s="180">
        <f>PERC_FGTS</f>
        <v>8</v>
      </c>
      <c r="F46" s="177"/>
    </row>
    <row r="47" spans="2:6" customFormat="1">
      <c r="B47" s="334" t="s">
        <v>361</v>
      </c>
      <c r="C47" s="334"/>
      <c r="D47" s="334"/>
      <c r="E47" s="334"/>
      <c r="F47" s="182"/>
    </row>
    <row r="48" spans="2:6" customFormat="1" ht="15.75" customHeight="1">
      <c r="B48" s="128" t="s">
        <v>400</v>
      </c>
      <c r="C48" s="83"/>
      <c r="D48" s="83"/>
      <c r="E48" s="83"/>
      <c r="F48" s="83"/>
    </row>
    <row r="49" spans="2:7" customFormat="1" ht="15.75" customHeight="1">
      <c r="B49" s="170" t="s">
        <v>401</v>
      </c>
      <c r="C49" s="333" t="s">
        <v>402</v>
      </c>
      <c r="D49" s="333"/>
      <c r="E49" s="333"/>
      <c r="F49" s="172" t="s">
        <v>446</v>
      </c>
      <c r="G49" s="82"/>
    </row>
    <row r="50" spans="2:7" customFormat="1" ht="16.350000000000001" customHeight="1">
      <c r="B50" s="168" t="s">
        <v>338</v>
      </c>
      <c r="C50" s="293" t="s">
        <v>452</v>
      </c>
      <c r="D50" s="293"/>
      <c r="E50" s="293"/>
      <c r="F50" s="176"/>
      <c r="G50" s="82"/>
    </row>
    <row r="51" spans="2:7" s="94" customFormat="1" ht="16.5" customHeight="1">
      <c r="B51" s="168" t="s">
        <v>341</v>
      </c>
      <c r="C51" s="280" t="s">
        <v>453</v>
      </c>
      <c r="D51" s="280"/>
      <c r="E51" s="280"/>
      <c r="F51" s="177"/>
      <c r="G51" s="140"/>
    </row>
    <row r="52" spans="2:7" s="94" customFormat="1">
      <c r="B52" s="168" t="s">
        <v>349</v>
      </c>
      <c r="C52" s="290" t="str">
        <f>OUTROS_BENEFICIOS_1_DESCRICAO</f>
        <v>Outros Benefícios 1 (Especificar)</v>
      </c>
      <c r="D52" s="290"/>
      <c r="E52" s="290"/>
      <c r="F52" s="176"/>
    </row>
    <row r="53" spans="2:7" s="94" customFormat="1">
      <c r="B53" s="168" t="s">
        <v>351</v>
      </c>
      <c r="C53" s="294" t="str">
        <f>OUTROS_BENEFICIOS_2_DESCRICAO</f>
        <v>Outros Benefícios 2 (Especificar)</v>
      </c>
      <c r="D53" s="294"/>
      <c r="E53" s="294"/>
      <c r="F53" s="177"/>
    </row>
    <row r="54" spans="2:7" s="94" customFormat="1">
      <c r="B54" s="168" t="s">
        <v>353</v>
      </c>
      <c r="C54" s="290" t="str">
        <f>OUTROS_BENEFICIOS_3_DESCRICAO</f>
        <v>Outros Benefícios 3 (Especificar)</v>
      </c>
      <c r="D54" s="290"/>
      <c r="E54" s="290"/>
      <c r="F54" s="176"/>
    </row>
    <row r="55" spans="2:7" s="94" customFormat="1" ht="15" customHeight="1">
      <c r="B55" s="333" t="s">
        <v>361</v>
      </c>
      <c r="C55" s="333"/>
      <c r="D55" s="333"/>
      <c r="E55" s="333"/>
      <c r="F55" s="175"/>
    </row>
    <row r="56" spans="2:7" s="94" customFormat="1">
      <c r="B56" s="128" t="s">
        <v>362</v>
      </c>
      <c r="C56" s="86"/>
      <c r="D56" s="87"/>
      <c r="E56" s="88"/>
      <c r="F56" s="88"/>
    </row>
    <row r="57" spans="2:7" s="94" customFormat="1" ht="15" customHeight="1">
      <c r="B57" s="170">
        <v>3</v>
      </c>
      <c r="C57" s="334" t="s">
        <v>363</v>
      </c>
      <c r="D57" s="334"/>
      <c r="E57" s="172" t="s">
        <v>336</v>
      </c>
      <c r="F57" s="172" t="s">
        <v>446</v>
      </c>
    </row>
    <row r="58" spans="2:7" s="94" customFormat="1">
      <c r="B58" s="170" t="s">
        <v>338</v>
      </c>
      <c r="C58" s="297" t="s">
        <v>364</v>
      </c>
      <c r="D58" s="297"/>
      <c r="E58" s="179">
        <f>PERC_AVISO_PREVIO_IND</f>
        <v>0.29105124999999998</v>
      </c>
      <c r="F58" s="176"/>
    </row>
    <row r="59" spans="2:7" s="94" customFormat="1">
      <c r="B59" s="172" t="s">
        <v>341</v>
      </c>
      <c r="C59" s="298" t="s">
        <v>366</v>
      </c>
      <c r="D59" s="298"/>
      <c r="E59" s="180">
        <f>PERC_AVISO_PREVIO_TRAB</f>
        <v>1.15572693055556</v>
      </c>
      <c r="F59" s="177"/>
    </row>
    <row r="60" spans="2:7" s="83" customFormat="1">
      <c r="B60" s="172" t="s">
        <v>349</v>
      </c>
      <c r="C60" s="297" t="s">
        <v>368</v>
      </c>
      <c r="D60" s="297"/>
      <c r="E60" s="179">
        <f>PERC_MULTA_FGTS_AV_PREV_TRAB</f>
        <v>0.04</v>
      </c>
      <c r="F60" s="176"/>
    </row>
    <row r="61" spans="2:7" s="83" customFormat="1">
      <c r="B61" s="334" t="s">
        <v>361</v>
      </c>
      <c r="C61" s="334"/>
      <c r="D61" s="334"/>
      <c r="E61" s="334"/>
      <c r="F61" s="178"/>
    </row>
    <row r="62" spans="2:7" customFormat="1" ht="7.5" customHeight="1">
      <c r="B62" s="141"/>
      <c r="C62" s="82"/>
      <c r="D62" s="142"/>
      <c r="E62" s="99"/>
      <c r="F62" s="99"/>
      <c r="G62" s="82"/>
    </row>
    <row r="63" spans="2:7" s="83" customFormat="1" ht="15.95" customHeight="1">
      <c r="B63" s="128" t="s">
        <v>370</v>
      </c>
      <c r="C63" s="86"/>
      <c r="D63" s="87"/>
      <c r="E63" s="82"/>
      <c r="F63" s="82"/>
    </row>
    <row r="64" spans="2:7" s="83" customFormat="1" ht="15.95" customHeight="1">
      <c r="B64" s="128" t="s">
        <v>371</v>
      </c>
      <c r="C64" s="86"/>
      <c r="D64" s="87"/>
      <c r="E64" s="88"/>
      <c r="F64" s="88"/>
    </row>
    <row r="65" spans="2:6" s="83" customFormat="1" ht="16.5" customHeight="1">
      <c r="B65" s="170" t="s">
        <v>372</v>
      </c>
      <c r="C65" s="333" t="s">
        <v>373</v>
      </c>
      <c r="D65" s="333"/>
      <c r="E65" s="172" t="s">
        <v>336</v>
      </c>
      <c r="F65" s="172" t="s">
        <v>446</v>
      </c>
    </row>
    <row r="66" spans="2:6" s="83" customFormat="1" ht="15.95" customHeight="1">
      <c r="B66" s="172" t="s">
        <v>338</v>
      </c>
      <c r="C66" s="293" t="s">
        <v>374</v>
      </c>
      <c r="D66" s="293"/>
      <c r="E66" s="133">
        <f>PERC_SUBSTITUTO_FERIAS</f>
        <v>8.3333333333333304</v>
      </c>
      <c r="F66" s="176"/>
    </row>
    <row r="67" spans="2:6" s="83" customFormat="1" ht="15.95" customHeight="1">
      <c r="B67" s="172" t="s">
        <v>341</v>
      </c>
      <c r="C67" s="280" t="s">
        <v>376</v>
      </c>
      <c r="D67" s="280"/>
      <c r="E67" s="180">
        <f>PERC_SUBSTITUTO_AUSENCIAS_LEGAIS</f>
        <v>2.2222222222222201</v>
      </c>
      <c r="F67" s="177"/>
    </row>
    <row r="68" spans="2:6" s="83" customFormat="1" ht="15.95" customHeight="1">
      <c r="B68" s="172" t="s">
        <v>349</v>
      </c>
      <c r="C68" s="293" t="s">
        <v>378</v>
      </c>
      <c r="D68" s="293"/>
      <c r="E68" s="179">
        <f>PERC_SUBSTITUTO_LICENCA_PATERNIDADE</f>
        <v>3.56735555555555E-2</v>
      </c>
      <c r="F68" s="176"/>
    </row>
    <row r="69" spans="2:6" s="83" customFormat="1" ht="16.5" customHeight="1">
      <c r="B69" s="172" t="s">
        <v>351</v>
      </c>
      <c r="C69" s="280" t="s">
        <v>380</v>
      </c>
      <c r="D69" s="280"/>
      <c r="E69" s="180">
        <f>PERC_SUBSTITUTO_ACID_TRAB</f>
        <v>1.85302229372558E-2</v>
      </c>
      <c r="F69" s="177"/>
    </row>
    <row r="70" spans="2:6" s="83" customFormat="1" ht="16.5" customHeight="1">
      <c r="B70" s="172" t="s">
        <v>353</v>
      </c>
      <c r="C70" s="293" t="s">
        <v>382</v>
      </c>
      <c r="D70" s="293"/>
      <c r="E70" s="179">
        <f>PERC_SUBSTITUTO_AFAST_MATERN</f>
        <v>0.14312918399999999</v>
      </c>
      <c r="F70" s="176"/>
    </row>
    <row r="71" spans="2:6" s="83" customFormat="1">
      <c r="B71" s="172" t="s">
        <v>355</v>
      </c>
      <c r="C71" s="300" t="str">
        <f>OUTRAS_AUSENCIAS_DESCRICAO</f>
        <v>Outras Ausências (Especificar - em %)</v>
      </c>
      <c r="D71" s="300"/>
      <c r="E71" s="183">
        <f>PERC_SUBSTITUTO_OUTRAS_AUSENCIAS</f>
        <v>0</v>
      </c>
      <c r="F71" s="177"/>
    </row>
    <row r="72" spans="2:6" s="83" customFormat="1">
      <c r="B72" s="334" t="s">
        <v>361</v>
      </c>
      <c r="C72" s="334"/>
      <c r="D72" s="334"/>
      <c r="E72" s="334"/>
      <c r="F72" s="178"/>
    </row>
    <row r="73" spans="2:6" s="83" customFormat="1" ht="15" customHeight="1">
      <c r="B73" s="128" t="s">
        <v>454</v>
      </c>
      <c r="C73" s="86"/>
      <c r="D73" s="87"/>
      <c r="E73" s="88"/>
      <c r="F73" s="88"/>
    </row>
    <row r="74" spans="2:6" s="83" customFormat="1">
      <c r="B74" s="170" t="s">
        <v>421</v>
      </c>
      <c r="C74" s="334" t="s">
        <v>455</v>
      </c>
      <c r="D74" s="334"/>
      <c r="E74" s="334"/>
      <c r="F74" s="172" t="s">
        <v>446</v>
      </c>
    </row>
    <row r="75" spans="2:6" s="83" customFormat="1" ht="16.5" customHeight="1">
      <c r="B75" s="170" t="s">
        <v>338</v>
      </c>
      <c r="C75" s="293" t="s">
        <v>456</v>
      </c>
      <c r="D75" s="293"/>
      <c r="E75" s="293"/>
      <c r="F75" s="173"/>
    </row>
    <row r="76" spans="2:6" s="83" customFormat="1">
      <c r="B76" s="334" t="s">
        <v>361</v>
      </c>
      <c r="C76" s="334"/>
      <c r="D76" s="334"/>
      <c r="E76" s="334"/>
      <c r="F76" s="178"/>
    </row>
    <row r="77" spans="2:6" customFormat="1" ht="7.5" customHeight="1">
      <c r="B77" s="141"/>
      <c r="C77" s="82"/>
      <c r="D77" s="142"/>
      <c r="E77" s="99"/>
      <c r="F77" s="99"/>
    </row>
    <row r="78" spans="2:6" customFormat="1">
      <c r="B78" s="128" t="s">
        <v>457</v>
      </c>
      <c r="C78" s="86"/>
      <c r="D78" s="86"/>
      <c r="E78" s="88"/>
      <c r="F78" s="88"/>
    </row>
    <row r="79" spans="2:6" customFormat="1" ht="15.75" customHeight="1">
      <c r="B79" s="184">
        <v>5</v>
      </c>
      <c r="C79" s="336" t="s">
        <v>458</v>
      </c>
      <c r="D79" s="336"/>
      <c r="E79" s="336"/>
      <c r="F79" s="185" t="s">
        <v>446</v>
      </c>
    </row>
    <row r="80" spans="2:6" customFormat="1" ht="16.5" customHeight="1">
      <c r="B80" s="186" t="s">
        <v>338</v>
      </c>
      <c r="C80" s="302" t="s">
        <v>459</v>
      </c>
      <c r="D80" s="302"/>
      <c r="E80" s="302"/>
      <c r="F80" s="187"/>
    </row>
    <row r="81" spans="2:6" customFormat="1" ht="16.5" customHeight="1">
      <c r="B81" s="186" t="s">
        <v>341</v>
      </c>
      <c r="C81" s="299" t="s">
        <v>460</v>
      </c>
      <c r="D81" s="299"/>
      <c r="E81" s="299"/>
      <c r="F81" s="188"/>
    </row>
    <row r="82" spans="2:6" customFormat="1" ht="16.5" customHeight="1">
      <c r="B82" s="186" t="s">
        <v>349</v>
      </c>
      <c r="C82" s="302" t="s">
        <v>461</v>
      </c>
      <c r="D82" s="302"/>
      <c r="E82" s="302"/>
      <c r="F82" s="187"/>
    </row>
    <row r="83" spans="2:6" customFormat="1" ht="16.350000000000001" customHeight="1">
      <c r="B83" s="186" t="s">
        <v>351</v>
      </c>
      <c r="C83" s="303" t="s">
        <v>462</v>
      </c>
      <c r="D83" s="303"/>
      <c r="E83" s="303"/>
      <c r="F83" s="188"/>
    </row>
    <row r="84" spans="2:6" customFormat="1" ht="16.5" customHeight="1">
      <c r="B84" s="336" t="s">
        <v>361</v>
      </c>
      <c r="C84" s="336"/>
      <c r="D84" s="336"/>
      <c r="E84" s="336"/>
      <c r="F84" s="189"/>
    </row>
    <row r="85" spans="2:6" customFormat="1" ht="7.5" customHeight="1">
      <c r="B85" s="141"/>
      <c r="C85" s="82"/>
      <c r="D85" s="142"/>
      <c r="E85" s="99"/>
      <c r="F85" s="99"/>
    </row>
    <row r="86" spans="2:6" customFormat="1" ht="15" customHeight="1">
      <c r="B86" s="304" t="s">
        <v>463</v>
      </c>
      <c r="C86" s="304"/>
      <c r="D86" s="304"/>
      <c r="E86" s="304"/>
      <c r="F86" s="304"/>
    </row>
    <row r="87" spans="2:6" customFormat="1">
      <c r="B87" s="170">
        <v>6</v>
      </c>
      <c r="C87" s="334" t="s">
        <v>464</v>
      </c>
      <c r="D87" s="334"/>
      <c r="E87" s="172" t="s">
        <v>336</v>
      </c>
      <c r="F87" s="172" t="s">
        <v>446</v>
      </c>
    </row>
    <row r="88" spans="2:6" customFormat="1" ht="16.5" customHeight="1">
      <c r="B88" s="170" t="s">
        <v>338</v>
      </c>
      <c r="C88" s="293" t="s">
        <v>465</v>
      </c>
      <c r="D88" s="293"/>
      <c r="E88" s="356">
        <f>'Cálculo do BDI'!C20+'Cálculo do BDI'!C21+'Cálculo do BDI'!C22+'Cálculo do BDI'!C23</f>
        <v>5.1500000000000004E-2</v>
      </c>
      <c r="F88" s="176"/>
    </row>
    <row r="89" spans="2:6" customFormat="1" ht="15.75" customHeight="1">
      <c r="B89" s="172" t="s">
        <v>341</v>
      </c>
      <c r="C89" s="280" t="s">
        <v>466</v>
      </c>
      <c r="D89" s="280"/>
      <c r="E89" s="357">
        <f>'Cálculo do BDI'!C24</f>
        <v>5.0500000000000003E-2</v>
      </c>
      <c r="F89" s="177"/>
    </row>
    <row r="90" spans="2:6" customFormat="1" ht="16.5" customHeight="1">
      <c r="B90" s="172" t="s">
        <v>349</v>
      </c>
      <c r="C90" s="293" t="s">
        <v>467</v>
      </c>
      <c r="D90" s="293"/>
      <c r="E90" s="190">
        <f>SUM(E91:E94)</f>
        <v>8.6499999999999994E-2</v>
      </c>
      <c r="F90" s="176"/>
    </row>
    <row r="91" spans="2:6" customFormat="1" ht="15.75" customHeight="1">
      <c r="B91" s="191" t="s">
        <v>468</v>
      </c>
      <c r="C91" s="305" t="s">
        <v>20</v>
      </c>
      <c r="D91" s="305"/>
      <c r="E91" s="192">
        <v>6.4999999999999997E-3</v>
      </c>
      <c r="F91" s="193"/>
    </row>
    <row r="92" spans="2:6" customFormat="1" ht="16.5" customHeight="1">
      <c r="B92" s="191" t="s">
        <v>469</v>
      </c>
      <c r="C92" s="306" t="s">
        <v>470</v>
      </c>
      <c r="D92" s="306"/>
      <c r="E92" s="194">
        <v>0.03</v>
      </c>
      <c r="F92" s="195"/>
    </row>
    <row r="93" spans="2:6" s="158" customFormat="1" ht="16.5" customHeight="1">
      <c r="B93" s="191" t="s">
        <v>471</v>
      </c>
      <c r="C93" s="305" t="s">
        <v>472</v>
      </c>
      <c r="D93" s="305"/>
      <c r="E93" s="192">
        <v>0.05</v>
      </c>
      <c r="F93" s="193"/>
    </row>
    <row r="94" spans="2:6" s="158" customFormat="1" ht="16.5" customHeight="1">
      <c r="B94" s="191" t="s">
        <v>482</v>
      </c>
      <c r="C94" s="306" t="s">
        <v>483</v>
      </c>
      <c r="D94" s="306"/>
      <c r="E94" s="194"/>
      <c r="F94" s="195"/>
    </row>
    <row r="95" spans="2:6" s="158" customFormat="1">
      <c r="B95" s="334" t="s">
        <v>361</v>
      </c>
      <c r="C95" s="334"/>
      <c r="D95" s="334"/>
      <c r="E95" s="334"/>
      <c r="F95" s="196"/>
    </row>
    <row r="96" spans="2:6" s="158" customFormat="1" ht="20.25">
      <c r="B96" s="160" t="s">
        <v>473</v>
      </c>
      <c r="C96" s="161"/>
      <c r="D96" s="161"/>
      <c r="E96" s="161"/>
      <c r="F96" s="162"/>
    </row>
    <row r="97" spans="2:6" s="163" customFormat="1" ht="16.5" customHeight="1">
      <c r="B97" s="172" t="s">
        <v>474</v>
      </c>
      <c r="C97" s="333" t="s">
        <v>475</v>
      </c>
      <c r="D97" s="333"/>
      <c r="E97" s="333"/>
      <c r="F97" s="172" t="s">
        <v>476</v>
      </c>
    </row>
    <row r="98" spans="2:6" s="158" customFormat="1" ht="16.5" customHeight="1">
      <c r="B98" s="170">
        <v>1</v>
      </c>
      <c r="C98" s="293" t="s">
        <v>388</v>
      </c>
      <c r="D98" s="293"/>
      <c r="E98" s="293"/>
      <c r="F98" s="176"/>
    </row>
    <row r="99" spans="2:6" s="164" customFormat="1" ht="16.5" customHeight="1">
      <c r="B99" s="172">
        <v>2</v>
      </c>
      <c r="C99" s="280" t="s">
        <v>477</v>
      </c>
      <c r="D99" s="280"/>
      <c r="E99" s="280"/>
      <c r="F99" s="177"/>
    </row>
    <row r="100" spans="2:6" s="164" customFormat="1" ht="16.5" customHeight="1">
      <c r="B100" s="172">
        <v>3</v>
      </c>
      <c r="C100" s="293" t="s">
        <v>363</v>
      </c>
      <c r="D100" s="293"/>
      <c r="E100" s="293"/>
      <c r="F100" s="176"/>
    </row>
    <row r="101" spans="2:6" s="164" customFormat="1" ht="16.5" customHeight="1">
      <c r="B101" s="172">
        <v>4</v>
      </c>
      <c r="C101" s="280" t="s">
        <v>478</v>
      </c>
      <c r="D101" s="280"/>
      <c r="E101" s="280"/>
      <c r="F101" s="177"/>
    </row>
    <row r="102" spans="2:6" s="164" customFormat="1" ht="16.5" customHeight="1">
      <c r="B102" s="172">
        <v>5</v>
      </c>
      <c r="C102" s="293" t="s">
        <v>458</v>
      </c>
      <c r="D102" s="293"/>
      <c r="E102" s="293"/>
      <c r="F102" s="176"/>
    </row>
    <row r="103" spans="2:6" s="164" customFormat="1" ht="16.5" customHeight="1">
      <c r="B103" s="172">
        <v>6</v>
      </c>
      <c r="C103" s="280" t="s">
        <v>464</v>
      </c>
      <c r="D103" s="280"/>
      <c r="E103" s="280"/>
      <c r="F103" s="177"/>
    </row>
    <row r="104" spans="2:6" customFormat="1" ht="16.5" customHeight="1">
      <c r="B104" s="337" t="s">
        <v>479</v>
      </c>
      <c r="C104" s="337"/>
      <c r="D104" s="337"/>
      <c r="E104" s="337"/>
      <c r="F104" s="197"/>
    </row>
    <row r="105" spans="2:6" customFormat="1" ht="16.5" customHeight="1">
      <c r="B105" s="308" t="s">
        <v>480</v>
      </c>
      <c r="C105" s="308"/>
      <c r="D105" s="308"/>
      <c r="E105" s="308"/>
      <c r="F105" s="166">
        <f>VALOR_TOTAL_EMPREGADO*EMPREG_POR_POSTO</f>
        <v>0</v>
      </c>
    </row>
    <row r="106" spans="2:6" customFormat="1" ht="16.5" customHeight="1">
      <c r="B106" s="308" t="s">
        <v>481</v>
      </c>
      <c r="C106" s="308"/>
      <c r="D106" s="308"/>
      <c r="E106" s="308"/>
      <c r="F106" s="166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C102:E102"/>
    <mergeCell ref="C103:E103"/>
    <mergeCell ref="B104:E104"/>
    <mergeCell ref="B105:E105"/>
    <mergeCell ref="B106:E106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50987-4330-443E-886D-CD2AE35A5A2A}">
  <dimension ref="A1:D9"/>
  <sheetViews>
    <sheetView zoomScale="140" zoomScaleNormal="140" workbookViewId="0">
      <selection activeCell="A4" sqref="A4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38" t="s">
        <v>319</v>
      </c>
      <c r="B1" s="338"/>
      <c r="C1" s="338"/>
      <c r="D1" s="338"/>
    </row>
    <row r="2" spans="1:4" ht="16.5">
      <c r="A2" s="74" t="s">
        <v>320</v>
      </c>
      <c r="B2" s="75" t="s">
        <v>321</v>
      </c>
      <c r="C2" s="75" t="s">
        <v>322</v>
      </c>
      <c r="D2" s="75" t="s">
        <v>323</v>
      </c>
    </row>
    <row r="3" spans="1:4" ht="49.5">
      <c r="A3" s="76" t="s">
        <v>324</v>
      </c>
      <c r="B3" s="77"/>
      <c r="C3" s="77">
        <f>5*32.44*2/12</f>
        <v>27.033333333333331</v>
      </c>
      <c r="D3" s="77"/>
    </row>
    <row r="4" spans="1:4" ht="66">
      <c r="A4" s="78" t="s">
        <v>325</v>
      </c>
      <c r="B4" s="79"/>
      <c r="C4" s="79"/>
      <c r="D4" s="79">
        <f>61.34/12</f>
        <v>5.1116666666666672</v>
      </c>
    </row>
    <row r="5" spans="1:4" ht="66">
      <c r="A5" s="76" t="s">
        <v>326</v>
      </c>
      <c r="B5" s="77"/>
      <c r="C5" s="77">
        <f>4*69.67*2/12</f>
        <v>46.446666666666665</v>
      </c>
      <c r="D5" s="77"/>
    </row>
    <row r="6" spans="1:4" ht="49.5">
      <c r="A6" s="78" t="s">
        <v>327</v>
      </c>
      <c r="B6" s="79"/>
      <c r="C6" s="79"/>
      <c r="D6" s="79">
        <f>67.9/12</f>
        <v>5.6583333333333341</v>
      </c>
    </row>
    <row r="7" spans="1:4" ht="16.5">
      <c r="A7" s="76" t="s">
        <v>328</v>
      </c>
      <c r="B7" s="77"/>
      <c r="C7" s="77">
        <f>55.94*2*2/12</f>
        <v>18.646666666666665</v>
      </c>
      <c r="D7" s="77"/>
    </row>
    <row r="8" spans="1:4" ht="33">
      <c r="A8" s="78" t="s">
        <v>329</v>
      </c>
      <c r="B8" s="79"/>
      <c r="C8" s="79">
        <f>14.58*5*2/12</f>
        <v>12.15</v>
      </c>
      <c r="D8" s="79"/>
    </row>
    <row r="9" spans="1:4" ht="16.5">
      <c r="A9" s="80" t="s">
        <v>330</v>
      </c>
      <c r="B9" s="339">
        <v>115.05</v>
      </c>
      <c r="C9" s="339"/>
      <c r="D9" s="339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69352-0D42-4A3C-ACDE-962449E2AD4A}">
  <dimension ref="A1:G126"/>
  <sheetViews>
    <sheetView topLeftCell="A115" workbookViewId="0">
      <selection activeCell="F126" sqref="F126"/>
    </sheetView>
  </sheetViews>
  <sheetFormatPr defaultRowHeight="12.75"/>
  <cols>
    <col min="1" max="1" width="8.85546875" style="46" customWidth="1"/>
    <col min="2" max="2" width="67.5703125" style="47" customWidth="1"/>
    <col min="3" max="3" width="9.85546875" style="46" customWidth="1"/>
    <col min="4" max="4" width="13.28515625" style="46" customWidth="1"/>
    <col min="5" max="5" width="15.140625" style="46" customWidth="1"/>
    <col min="6" max="6" width="17.140625" style="46" customWidth="1"/>
    <col min="7" max="7" width="19.28515625" style="46" customWidth="1"/>
    <col min="8" max="16384" width="9.140625" style="46"/>
  </cols>
  <sheetData>
    <row r="1" spans="1:7" ht="18">
      <c r="A1" s="340" t="s">
        <v>311</v>
      </c>
      <c r="B1" s="340"/>
      <c r="C1" s="340"/>
      <c r="D1" s="340"/>
      <c r="E1" s="340"/>
      <c r="F1" s="340"/>
    </row>
    <row r="2" spans="1:7">
      <c r="A2" s="341" t="s">
        <v>257</v>
      </c>
      <c r="B2" s="341"/>
      <c r="C2" s="341"/>
      <c r="D2" s="341"/>
      <c r="E2" s="341"/>
      <c r="F2" s="341"/>
      <c r="G2" s="341"/>
    </row>
    <row r="3" spans="1:7" ht="23.85" customHeight="1">
      <c r="A3" s="66" t="s">
        <v>22</v>
      </c>
      <c r="B3" s="66" t="s">
        <v>21</v>
      </c>
      <c r="C3" s="66" t="s">
        <v>23</v>
      </c>
      <c r="D3" s="66" t="s">
        <v>131</v>
      </c>
      <c r="E3" s="66" t="s">
        <v>264</v>
      </c>
      <c r="F3" s="66" t="s">
        <v>265</v>
      </c>
      <c r="G3" s="66" t="s">
        <v>130</v>
      </c>
    </row>
    <row r="4" spans="1:7" ht="28.7" customHeight="1">
      <c r="A4" s="56">
        <v>1</v>
      </c>
      <c r="B4" s="57" t="s">
        <v>308</v>
      </c>
      <c r="C4" s="56" t="s">
        <v>23</v>
      </c>
      <c r="D4" s="56">
        <v>10</v>
      </c>
      <c r="E4" s="58">
        <v>40.92</v>
      </c>
      <c r="F4" s="58">
        <f t="shared" ref="F4:F27" si="0">D4*E4</f>
        <v>409.20000000000005</v>
      </c>
      <c r="G4" s="56" t="s">
        <v>123</v>
      </c>
    </row>
    <row r="5" spans="1:7" ht="27.4" customHeight="1">
      <c r="A5" s="56">
        <v>2</v>
      </c>
      <c r="B5" s="57" t="s">
        <v>307</v>
      </c>
      <c r="C5" s="56" t="s">
        <v>23</v>
      </c>
      <c r="D5" s="56">
        <v>20</v>
      </c>
      <c r="E5" s="58">
        <v>125.111</v>
      </c>
      <c r="F5" s="58">
        <f t="shared" si="0"/>
        <v>2502.2200000000003</v>
      </c>
      <c r="G5" s="56" t="s">
        <v>123</v>
      </c>
    </row>
    <row r="6" spans="1:7" ht="27.4" customHeight="1">
      <c r="A6" s="56">
        <v>3</v>
      </c>
      <c r="B6" s="57" t="s">
        <v>306</v>
      </c>
      <c r="C6" s="56" t="s">
        <v>23</v>
      </c>
      <c r="D6" s="56">
        <v>30</v>
      </c>
      <c r="E6" s="58">
        <v>9.43</v>
      </c>
      <c r="F6" s="58">
        <f t="shared" si="0"/>
        <v>282.89999999999998</v>
      </c>
      <c r="G6" s="56" t="s">
        <v>305</v>
      </c>
    </row>
    <row r="7" spans="1:7" ht="20.85" customHeight="1">
      <c r="A7" s="56">
        <v>4</v>
      </c>
      <c r="B7" s="57" t="s">
        <v>266</v>
      </c>
      <c r="C7" s="56" t="s">
        <v>23</v>
      </c>
      <c r="D7" s="56">
        <v>30</v>
      </c>
      <c r="E7" s="58">
        <v>9.5399999999999991</v>
      </c>
      <c r="F7" s="58">
        <f t="shared" si="0"/>
        <v>286.2</v>
      </c>
      <c r="G7" s="56" t="s">
        <v>267</v>
      </c>
    </row>
    <row r="8" spans="1:7" ht="50.65" customHeight="1">
      <c r="A8" s="56">
        <v>5</v>
      </c>
      <c r="B8" s="57" t="s">
        <v>268</v>
      </c>
      <c r="C8" s="56" t="s">
        <v>23</v>
      </c>
      <c r="D8" s="56">
        <v>2</v>
      </c>
      <c r="E8" s="58">
        <v>2.5</v>
      </c>
      <c r="F8" s="58">
        <f t="shared" si="0"/>
        <v>5</v>
      </c>
      <c r="G8" s="56" t="s">
        <v>249</v>
      </c>
    </row>
    <row r="9" spans="1:7" ht="52.15" customHeight="1">
      <c r="A9" s="56">
        <v>6</v>
      </c>
      <c r="B9" s="57" t="s">
        <v>269</v>
      </c>
      <c r="C9" s="56" t="s">
        <v>23</v>
      </c>
      <c r="D9" s="56">
        <v>2</v>
      </c>
      <c r="E9" s="58">
        <v>5.3</v>
      </c>
      <c r="F9" s="58">
        <f t="shared" si="0"/>
        <v>10.6</v>
      </c>
      <c r="G9" s="56" t="s">
        <v>250</v>
      </c>
    </row>
    <row r="10" spans="1:7" ht="63.75">
      <c r="A10" s="56">
        <v>7</v>
      </c>
      <c r="B10" s="57" t="s">
        <v>270</v>
      </c>
      <c r="C10" s="56" t="s">
        <v>23</v>
      </c>
      <c r="D10" s="56">
        <v>2</v>
      </c>
      <c r="E10" s="58">
        <v>2.37</v>
      </c>
      <c r="F10" s="58">
        <f t="shared" si="0"/>
        <v>4.74</v>
      </c>
      <c r="G10" s="56" t="s">
        <v>247</v>
      </c>
    </row>
    <row r="11" spans="1:7" ht="63.75">
      <c r="A11" s="56">
        <v>8</v>
      </c>
      <c r="B11" s="57" t="s">
        <v>271</v>
      </c>
      <c r="C11" s="56" t="s">
        <v>23</v>
      </c>
      <c r="D11" s="56">
        <v>2</v>
      </c>
      <c r="E11" s="58">
        <v>2.46</v>
      </c>
      <c r="F11" s="58">
        <f t="shared" si="0"/>
        <v>4.92</v>
      </c>
      <c r="G11" s="56" t="s">
        <v>248</v>
      </c>
    </row>
    <row r="12" spans="1:7" ht="32.1" customHeight="1">
      <c r="A12" s="56">
        <v>9</v>
      </c>
      <c r="B12" s="57" t="s">
        <v>272</v>
      </c>
      <c r="C12" s="56" t="s">
        <v>23</v>
      </c>
      <c r="D12" s="56">
        <v>2</v>
      </c>
      <c r="E12" s="58">
        <v>7.1</v>
      </c>
      <c r="F12" s="58">
        <f t="shared" si="0"/>
        <v>14.2</v>
      </c>
      <c r="G12" s="56" t="s">
        <v>273</v>
      </c>
    </row>
    <row r="13" spans="1:7" ht="35.85" customHeight="1">
      <c r="A13" s="56">
        <v>10</v>
      </c>
      <c r="B13" s="57" t="s">
        <v>274</v>
      </c>
      <c r="C13" s="56" t="s">
        <v>23</v>
      </c>
      <c r="D13" s="56">
        <v>2</v>
      </c>
      <c r="E13" s="58">
        <v>8.08</v>
      </c>
      <c r="F13" s="58">
        <f t="shared" si="0"/>
        <v>16.16</v>
      </c>
      <c r="G13" s="56" t="s">
        <v>275</v>
      </c>
    </row>
    <row r="14" spans="1:7" ht="40.35" customHeight="1">
      <c r="A14" s="56">
        <v>11</v>
      </c>
      <c r="B14" s="57" t="s">
        <v>276</v>
      </c>
      <c r="C14" s="56" t="s">
        <v>23</v>
      </c>
      <c r="D14" s="56">
        <v>2</v>
      </c>
      <c r="E14" s="58">
        <v>8.08</v>
      </c>
      <c r="F14" s="58">
        <f t="shared" si="0"/>
        <v>16.16</v>
      </c>
      <c r="G14" s="56" t="s">
        <v>275</v>
      </c>
    </row>
    <row r="15" spans="1:7" ht="63.75">
      <c r="A15" s="56">
        <v>12</v>
      </c>
      <c r="B15" s="57" t="s">
        <v>285</v>
      </c>
      <c r="C15" s="56" t="s">
        <v>106</v>
      </c>
      <c r="D15" s="56">
        <v>200</v>
      </c>
      <c r="E15" s="58">
        <v>2.29</v>
      </c>
      <c r="F15" s="58">
        <f t="shared" si="0"/>
        <v>458</v>
      </c>
      <c r="G15" s="56" t="s">
        <v>277</v>
      </c>
    </row>
    <row r="16" spans="1:7" ht="63.75">
      <c r="A16" s="56">
        <v>13</v>
      </c>
      <c r="B16" s="57" t="s">
        <v>284</v>
      </c>
      <c r="C16" s="56" t="s">
        <v>106</v>
      </c>
      <c r="D16" s="56">
        <v>200</v>
      </c>
      <c r="E16" s="58">
        <v>2.29</v>
      </c>
      <c r="F16" s="58">
        <f t="shared" si="0"/>
        <v>458</v>
      </c>
      <c r="G16" s="56" t="s">
        <v>277</v>
      </c>
    </row>
    <row r="17" spans="1:7" ht="63.75">
      <c r="A17" s="56">
        <v>14</v>
      </c>
      <c r="B17" s="57" t="s">
        <v>283</v>
      </c>
      <c r="C17" s="56" t="s">
        <v>106</v>
      </c>
      <c r="D17" s="56">
        <v>200</v>
      </c>
      <c r="E17" s="58">
        <v>2.29</v>
      </c>
      <c r="F17" s="58">
        <f t="shared" si="0"/>
        <v>458</v>
      </c>
      <c r="G17" s="56" t="s">
        <v>277</v>
      </c>
    </row>
    <row r="18" spans="1:7" ht="63.75">
      <c r="A18" s="56">
        <v>15</v>
      </c>
      <c r="B18" s="57" t="s">
        <v>282</v>
      </c>
      <c r="C18" s="56" t="s">
        <v>106</v>
      </c>
      <c r="D18" s="56">
        <v>200</v>
      </c>
      <c r="E18" s="58">
        <v>2.29</v>
      </c>
      <c r="F18" s="58">
        <f t="shared" si="0"/>
        <v>458</v>
      </c>
      <c r="G18" s="56" t="s">
        <v>277</v>
      </c>
    </row>
    <row r="19" spans="1:7" ht="63.75">
      <c r="A19" s="56">
        <v>16</v>
      </c>
      <c r="B19" s="57" t="s">
        <v>281</v>
      </c>
      <c r="C19" s="56" t="s">
        <v>106</v>
      </c>
      <c r="D19" s="56">
        <v>200</v>
      </c>
      <c r="E19" s="58">
        <v>2.29</v>
      </c>
      <c r="F19" s="58">
        <f t="shared" si="0"/>
        <v>458</v>
      </c>
      <c r="G19" s="56" t="s">
        <v>277</v>
      </c>
    </row>
    <row r="20" spans="1:7" ht="73.900000000000006" customHeight="1">
      <c r="A20" s="56">
        <v>17</v>
      </c>
      <c r="B20" s="59" t="s">
        <v>286</v>
      </c>
      <c r="C20" s="56" t="s">
        <v>106</v>
      </c>
      <c r="D20" s="56">
        <v>100</v>
      </c>
      <c r="E20" s="58">
        <v>8.39</v>
      </c>
      <c r="F20" s="58">
        <f t="shared" si="0"/>
        <v>839</v>
      </c>
      <c r="G20" s="56" t="s">
        <v>123</v>
      </c>
    </row>
    <row r="21" spans="1:7" ht="21.2" customHeight="1">
      <c r="A21" s="56">
        <v>18</v>
      </c>
      <c r="B21" s="59" t="s">
        <v>256</v>
      </c>
      <c r="C21" s="60" t="s">
        <v>106</v>
      </c>
      <c r="D21" s="60">
        <v>100</v>
      </c>
      <c r="E21" s="61">
        <v>3.26</v>
      </c>
      <c r="F21" s="61">
        <f t="shared" si="0"/>
        <v>326</v>
      </c>
      <c r="G21" s="62" t="s">
        <v>123</v>
      </c>
    </row>
    <row r="22" spans="1:7" ht="21.2" customHeight="1">
      <c r="A22" s="56">
        <v>19</v>
      </c>
      <c r="B22" s="59" t="s">
        <v>255</v>
      </c>
      <c r="C22" s="60" t="s">
        <v>253</v>
      </c>
      <c r="D22" s="60">
        <v>200</v>
      </c>
      <c r="E22" s="61">
        <v>0.55000000000000004</v>
      </c>
      <c r="F22" s="61">
        <f t="shared" si="0"/>
        <v>110.00000000000001</v>
      </c>
      <c r="G22" s="62" t="s">
        <v>123</v>
      </c>
    </row>
    <row r="23" spans="1:7" ht="24.4" customHeight="1">
      <c r="A23" s="56">
        <v>20</v>
      </c>
      <c r="B23" s="59" t="s">
        <v>254</v>
      </c>
      <c r="C23" s="60" t="s">
        <v>253</v>
      </c>
      <c r="D23" s="60">
        <v>200</v>
      </c>
      <c r="E23" s="61">
        <v>0.53</v>
      </c>
      <c r="F23" s="61">
        <f t="shared" si="0"/>
        <v>106</v>
      </c>
      <c r="G23" s="62" t="s">
        <v>123</v>
      </c>
    </row>
    <row r="24" spans="1:7" ht="51">
      <c r="A24" s="56">
        <v>21</v>
      </c>
      <c r="B24" s="57" t="s">
        <v>278</v>
      </c>
      <c r="C24" s="56" t="s">
        <v>23</v>
      </c>
      <c r="D24" s="56">
        <v>5</v>
      </c>
      <c r="E24" s="58">
        <v>8.49</v>
      </c>
      <c r="F24" s="58">
        <f t="shared" si="0"/>
        <v>42.45</v>
      </c>
      <c r="G24" s="56" t="s">
        <v>123</v>
      </c>
    </row>
    <row r="25" spans="1:7" ht="51">
      <c r="A25" s="56">
        <v>22</v>
      </c>
      <c r="B25" s="57" t="s">
        <v>279</v>
      </c>
      <c r="C25" s="56" t="s">
        <v>23</v>
      </c>
      <c r="D25" s="56">
        <v>5</v>
      </c>
      <c r="E25" s="58">
        <v>9.99</v>
      </c>
      <c r="F25" s="58">
        <f t="shared" si="0"/>
        <v>49.95</v>
      </c>
      <c r="G25" s="56" t="s">
        <v>123</v>
      </c>
    </row>
    <row r="26" spans="1:7" ht="49.9" customHeight="1">
      <c r="A26" s="56">
        <v>23</v>
      </c>
      <c r="B26" s="57" t="s">
        <v>252</v>
      </c>
      <c r="C26" s="62" t="s">
        <v>23</v>
      </c>
      <c r="D26" s="62">
        <v>15</v>
      </c>
      <c r="E26" s="61">
        <v>23.69</v>
      </c>
      <c r="F26" s="61">
        <f t="shared" si="0"/>
        <v>355.35</v>
      </c>
      <c r="G26" s="62" t="s">
        <v>251</v>
      </c>
    </row>
    <row r="27" spans="1:7" ht="97.35" customHeight="1">
      <c r="A27" s="56">
        <v>24</v>
      </c>
      <c r="B27" s="57" t="s">
        <v>280</v>
      </c>
      <c r="C27" s="56" t="s">
        <v>23</v>
      </c>
      <c r="D27" s="56">
        <v>10</v>
      </c>
      <c r="E27" s="58">
        <v>41.5</v>
      </c>
      <c r="F27" s="58">
        <f t="shared" si="0"/>
        <v>415</v>
      </c>
      <c r="G27" s="56" t="s">
        <v>123</v>
      </c>
    </row>
    <row r="28" spans="1:7" ht="12" customHeight="1">
      <c r="A28" s="69"/>
      <c r="B28" s="70"/>
      <c r="C28" s="69"/>
      <c r="D28" s="69"/>
      <c r="E28" s="71"/>
      <c r="F28" s="71"/>
      <c r="G28" s="69"/>
    </row>
    <row r="29" spans="1:7">
      <c r="A29" s="341" t="s">
        <v>246</v>
      </c>
      <c r="B29" s="341"/>
      <c r="C29" s="341"/>
      <c r="D29" s="341"/>
      <c r="E29" s="341"/>
      <c r="F29" s="341"/>
      <c r="G29" s="341"/>
    </row>
    <row r="30" spans="1:7" ht="25.5">
      <c r="A30" s="66" t="s">
        <v>22</v>
      </c>
      <c r="B30" s="66" t="s">
        <v>21</v>
      </c>
      <c r="C30" s="66" t="s">
        <v>23</v>
      </c>
      <c r="D30" s="66" t="s">
        <v>131</v>
      </c>
      <c r="E30" s="66" t="s">
        <v>264</v>
      </c>
      <c r="F30" s="66" t="s">
        <v>265</v>
      </c>
      <c r="G30" s="66" t="s">
        <v>130</v>
      </c>
    </row>
    <row r="31" spans="1:7" ht="38.25">
      <c r="A31" s="56">
        <v>1</v>
      </c>
      <c r="B31" s="63" t="s">
        <v>245</v>
      </c>
      <c r="C31" s="56" t="s">
        <v>23</v>
      </c>
      <c r="D31" s="56">
        <v>4</v>
      </c>
      <c r="E31" s="58">
        <v>1.1399999999999999</v>
      </c>
      <c r="F31" s="58">
        <f t="shared" ref="F31:F62" si="1">D31*E31</f>
        <v>4.5599999999999996</v>
      </c>
      <c r="G31" s="56" t="s">
        <v>244</v>
      </c>
    </row>
    <row r="32" spans="1:7" ht="38.25">
      <c r="A32" s="56">
        <v>2</v>
      </c>
      <c r="B32" s="64" t="s">
        <v>243</v>
      </c>
      <c r="C32" s="56" t="s">
        <v>23</v>
      </c>
      <c r="D32" s="56">
        <v>4</v>
      </c>
      <c r="E32" s="58">
        <v>2.37</v>
      </c>
      <c r="F32" s="58">
        <f t="shared" si="1"/>
        <v>9.48</v>
      </c>
      <c r="G32" s="56" t="s">
        <v>242</v>
      </c>
    </row>
    <row r="33" spans="1:7" ht="38.25">
      <c r="A33" s="56">
        <v>3</v>
      </c>
      <c r="B33" s="64" t="s">
        <v>241</v>
      </c>
      <c r="C33" s="56" t="s">
        <v>23</v>
      </c>
      <c r="D33" s="56">
        <v>4</v>
      </c>
      <c r="E33" s="58">
        <v>5.74</v>
      </c>
      <c r="F33" s="58">
        <f t="shared" si="1"/>
        <v>22.96</v>
      </c>
      <c r="G33" s="56" t="s">
        <v>240</v>
      </c>
    </row>
    <row r="34" spans="1:7" ht="38.25">
      <c r="A34" s="56">
        <v>4</v>
      </c>
      <c r="B34" s="64" t="s">
        <v>239</v>
      </c>
      <c r="C34" s="56" t="s">
        <v>23</v>
      </c>
      <c r="D34" s="56">
        <v>4</v>
      </c>
      <c r="E34" s="58">
        <v>15.6</v>
      </c>
      <c r="F34" s="58">
        <f t="shared" si="1"/>
        <v>62.4</v>
      </c>
      <c r="G34" s="56" t="s">
        <v>238</v>
      </c>
    </row>
    <row r="35" spans="1:7" ht="25.5">
      <c r="A35" s="56">
        <v>5</v>
      </c>
      <c r="B35" s="64" t="s">
        <v>237</v>
      </c>
      <c r="C35" s="56" t="s">
        <v>23</v>
      </c>
      <c r="D35" s="56">
        <v>2</v>
      </c>
      <c r="E35" s="58">
        <v>3.53</v>
      </c>
      <c r="F35" s="58">
        <f t="shared" si="1"/>
        <v>7.06</v>
      </c>
      <c r="G35" s="56" t="s">
        <v>236</v>
      </c>
    </row>
    <row r="36" spans="1:7" ht="38.25">
      <c r="A36" s="56">
        <v>6</v>
      </c>
      <c r="B36" s="64" t="s">
        <v>235</v>
      </c>
      <c r="C36" s="56" t="s">
        <v>23</v>
      </c>
      <c r="D36" s="56">
        <v>2</v>
      </c>
      <c r="E36" s="58">
        <v>1.17</v>
      </c>
      <c r="F36" s="58">
        <f t="shared" si="1"/>
        <v>2.34</v>
      </c>
      <c r="G36" s="56" t="s">
        <v>234</v>
      </c>
    </row>
    <row r="37" spans="1:7" ht="38.25">
      <c r="A37" s="56">
        <v>7</v>
      </c>
      <c r="B37" s="64" t="s">
        <v>233</v>
      </c>
      <c r="C37" s="56" t="s">
        <v>23</v>
      </c>
      <c r="D37" s="56">
        <v>4</v>
      </c>
      <c r="E37" s="58">
        <v>2.5499999999999998</v>
      </c>
      <c r="F37" s="58">
        <f t="shared" si="1"/>
        <v>10.199999999999999</v>
      </c>
      <c r="G37" s="56" t="s">
        <v>232</v>
      </c>
    </row>
    <row r="38" spans="1:7" ht="38.25">
      <c r="A38" s="56">
        <v>8</v>
      </c>
      <c r="B38" s="64" t="s">
        <v>231</v>
      </c>
      <c r="C38" s="56" t="s">
        <v>23</v>
      </c>
      <c r="D38" s="56">
        <v>4</v>
      </c>
      <c r="E38" s="58">
        <v>11.72</v>
      </c>
      <c r="F38" s="58">
        <f t="shared" si="1"/>
        <v>46.88</v>
      </c>
      <c r="G38" s="56" t="s">
        <v>230</v>
      </c>
    </row>
    <row r="39" spans="1:7" ht="38.25">
      <c r="A39" s="56">
        <v>9</v>
      </c>
      <c r="B39" s="64" t="s">
        <v>229</v>
      </c>
      <c r="C39" s="56" t="s">
        <v>23</v>
      </c>
      <c r="D39" s="56">
        <v>4</v>
      </c>
      <c r="E39" s="58">
        <v>7.05</v>
      </c>
      <c r="F39" s="58">
        <f t="shared" si="1"/>
        <v>28.2</v>
      </c>
      <c r="G39" s="56" t="s">
        <v>228</v>
      </c>
    </row>
    <row r="40" spans="1:7" ht="38.25">
      <c r="A40" s="56">
        <v>10</v>
      </c>
      <c r="B40" s="64" t="s">
        <v>227</v>
      </c>
      <c r="C40" s="56" t="s">
        <v>23</v>
      </c>
      <c r="D40" s="56">
        <v>4</v>
      </c>
      <c r="E40" s="58">
        <v>5.42</v>
      </c>
      <c r="F40" s="58">
        <f t="shared" si="1"/>
        <v>21.68</v>
      </c>
      <c r="G40" s="56" t="s">
        <v>226</v>
      </c>
    </row>
    <row r="41" spans="1:7" ht="25.5">
      <c r="A41" s="56">
        <v>11</v>
      </c>
      <c r="B41" s="64" t="s">
        <v>225</v>
      </c>
      <c r="C41" s="56" t="s">
        <v>23</v>
      </c>
      <c r="D41" s="56">
        <v>2</v>
      </c>
      <c r="E41" s="58">
        <v>10.17</v>
      </c>
      <c r="F41" s="58">
        <f t="shared" si="1"/>
        <v>20.34</v>
      </c>
      <c r="G41" s="56" t="s">
        <v>224</v>
      </c>
    </row>
    <row r="42" spans="1:7" ht="25.5">
      <c r="A42" s="56">
        <v>12</v>
      </c>
      <c r="B42" s="64" t="s">
        <v>223</v>
      </c>
      <c r="C42" s="56" t="s">
        <v>23</v>
      </c>
      <c r="D42" s="56">
        <v>2</v>
      </c>
      <c r="E42" s="58">
        <v>1.61</v>
      </c>
      <c r="F42" s="58">
        <f t="shared" si="1"/>
        <v>3.22</v>
      </c>
      <c r="G42" s="56" t="s">
        <v>222</v>
      </c>
    </row>
    <row r="43" spans="1:7" ht="22.9" customHeight="1">
      <c r="A43" s="56">
        <v>13</v>
      </c>
      <c r="B43" s="64" t="s">
        <v>221</v>
      </c>
      <c r="C43" s="56" t="s">
        <v>23</v>
      </c>
      <c r="D43" s="56">
        <v>4</v>
      </c>
      <c r="E43" s="58">
        <v>8.39</v>
      </c>
      <c r="F43" s="58">
        <f t="shared" si="1"/>
        <v>33.56</v>
      </c>
      <c r="G43" s="56" t="s">
        <v>123</v>
      </c>
    </row>
    <row r="44" spans="1:7" ht="23.85" customHeight="1">
      <c r="A44" s="56">
        <v>14</v>
      </c>
      <c r="B44" s="64" t="s">
        <v>220</v>
      </c>
      <c r="C44" s="56" t="s">
        <v>23</v>
      </c>
      <c r="D44" s="56">
        <v>4</v>
      </c>
      <c r="E44" s="58">
        <v>4.29</v>
      </c>
      <c r="F44" s="58">
        <f t="shared" si="1"/>
        <v>17.16</v>
      </c>
      <c r="G44" s="56" t="s">
        <v>123</v>
      </c>
    </row>
    <row r="45" spans="1:7" ht="27">
      <c r="A45" s="56">
        <v>15</v>
      </c>
      <c r="B45" s="63" t="s">
        <v>287</v>
      </c>
      <c r="C45" s="56" t="s">
        <v>23</v>
      </c>
      <c r="D45" s="56">
        <v>2</v>
      </c>
      <c r="E45" s="58">
        <v>42.73</v>
      </c>
      <c r="F45" s="58">
        <f t="shared" si="1"/>
        <v>85.46</v>
      </c>
      <c r="G45" s="56" t="s">
        <v>123</v>
      </c>
    </row>
    <row r="46" spans="1:7" ht="37.9" customHeight="1">
      <c r="A46" s="56">
        <v>16</v>
      </c>
      <c r="B46" s="64" t="s">
        <v>219</v>
      </c>
      <c r="C46" s="56" t="s">
        <v>23</v>
      </c>
      <c r="D46" s="56">
        <v>4</v>
      </c>
      <c r="E46" s="58">
        <v>0.95</v>
      </c>
      <c r="F46" s="58">
        <f t="shared" si="1"/>
        <v>3.8</v>
      </c>
      <c r="G46" s="56" t="s">
        <v>218</v>
      </c>
    </row>
    <row r="47" spans="1:7" ht="35.85" customHeight="1">
      <c r="A47" s="56">
        <v>17</v>
      </c>
      <c r="B47" s="64" t="s">
        <v>217</v>
      </c>
      <c r="C47" s="56" t="s">
        <v>23</v>
      </c>
      <c r="D47" s="56">
        <v>4</v>
      </c>
      <c r="E47" s="58">
        <v>2.84</v>
      </c>
      <c r="F47" s="58">
        <f t="shared" si="1"/>
        <v>11.36</v>
      </c>
      <c r="G47" s="56" t="s">
        <v>216</v>
      </c>
    </row>
    <row r="48" spans="1:7" ht="29.85" customHeight="1">
      <c r="A48" s="56">
        <v>18</v>
      </c>
      <c r="B48" s="64" t="s">
        <v>215</v>
      </c>
      <c r="C48" s="56" t="s">
        <v>23</v>
      </c>
      <c r="D48" s="56">
        <v>4</v>
      </c>
      <c r="E48" s="58">
        <v>6.74</v>
      </c>
      <c r="F48" s="58">
        <f t="shared" si="1"/>
        <v>26.96</v>
      </c>
      <c r="G48" s="56" t="s">
        <v>214</v>
      </c>
    </row>
    <row r="49" spans="1:7" ht="30.75" customHeight="1">
      <c r="A49" s="56">
        <v>19</v>
      </c>
      <c r="B49" s="64" t="s">
        <v>213</v>
      </c>
      <c r="C49" s="56" t="s">
        <v>23</v>
      </c>
      <c r="D49" s="56">
        <v>4</v>
      </c>
      <c r="E49" s="58">
        <v>7.3</v>
      </c>
      <c r="F49" s="58">
        <f t="shared" si="1"/>
        <v>29.2</v>
      </c>
      <c r="G49" s="56" t="s">
        <v>212</v>
      </c>
    </row>
    <row r="50" spans="1:7" ht="31.9" customHeight="1">
      <c r="A50" s="56">
        <v>20</v>
      </c>
      <c r="B50" s="64" t="s">
        <v>211</v>
      </c>
      <c r="C50" s="56" t="s">
        <v>23</v>
      </c>
      <c r="D50" s="56">
        <v>4</v>
      </c>
      <c r="E50" s="58">
        <v>31.68</v>
      </c>
      <c r="F50" s="58">
        <f t="shared" si="1"/>
        <v>126.72</v>
      </c>
      <c r="G50" s="56" t="s">
        <v>210</v>
      </c>
    </row>
    <row r="51" spans="1:7" ht="34.9" customHeight="1">
      <c r="A51" s="56">
        <v>21</v>
      </c>
      <c r="B51" s="64" t="s">
        <v>209</v>
      </c>
      <c r="C51" s="56" t="s">
        <v>23</v>
      </c>
      <c r="D51" s="56">
        <v>4</v>
      </c>
      <c r="E51" s="58">
        <v>13.28</v>
      </c>
      <c r="F51" s="58">
        <f t="shared" si="1"/>
        <v>53.12</v>
      </c>
      <c r="G51" s="56" t="s">
        <v>208</v>
      </c>
    </row>
    <row r="52" spans="1:7" ht="34.9" customHeight="1">
      <c r="A52" s="56">
        <v>22</v>
      </c>
      <c r="B52" s="64" t="s">
        <v>207</v>
      </c>
      <c r="C52" s="56" t="s">
        <v>23</v>
      </c>
      <c r="D52" s="56">
        <v>4</v>
      </c>
      <c r="E52" s="58">
        <v>31.77</v>
      </c>
      <c r="F52" s="58">
        <f t="shared" si="1"/>
        <v>127.08</v>
      </c>
      <c r="G52" s="56" t="s">
        <v>206</v>
      </c>
    </row>
    <row r="53" spans="1:7" ht="34.9" customHeight="1">
      <c r="A53" s="56">
        <v>23</v>
      </c>
      <c r="B53" s="64" t="s">
        <v>205</v>
      </c>
      <c r="C53" s="56" t="s">
        <v>23</v>
      </c>
      <c r="D53" s="56">
        <v>4</v>
      </c>
      <c r="E53" s="58">
        <v>36.06</v>
      </c>
      <c r="F53" s="58">
        <f t="shared" si="1"/>
        <v>144.24</v>
      </c>
      <c r="G53" s="56" t="s">
        <v>204</v>
      </c>
    </row>
    <row r="54" spans="1:7" ht="34.9" customHeight="1">
      <c r="A54" s="56">
        <v>24</v>
      </c>
      <c r="B54" s="64" t="s">
        <v>203</v>
      </c>
      <c r="C54" s="56" t="s">
        <v>23</v>
      </c>
      <c r="D54" s="56">
        <v>4</v>
      </c>
      <c r="E54" s="58">
        <v>56.32</v>
      </c>
      <c r="F54" s="58">
        <f t="shared" si="1"/>
        <v>225.28</v>
      </c>
      <c r="G54" s="56" t="s">
        <v>202</v>
      </c>
    </row>
    <row r="55" spans="1:7" ht="34.9" customHeight="1">
      <c r="A55" s="56">
        <v>25</v>
      </c>
      <c r="B55" s="64" t="s">
        <v>201</v>
      </c>
      <c r="C55" s="56" t="s">
        <v>23</v>
      </c>
      <c r="D55" s="56">
        <v>4</v>
      </c>
      <c r="E55" s="58">
        <v>6.32</v>
      </c>
      <c r="F55" s="58">
        <f t="shared" si="1"/>
        <v>25.28</v>
      </c>
      <c r="G55" s="56" t="s">
        <v>200</v>
      </c>
    </row>
    <row r="56" spans="1:7" ht="34.9" customHeight="1">
      <c r="A56" s="56">
        <v>26</v>
      </c>
      <c r="B56" s="64" t="s">
        <v>199</v>
      </c>
      <c r="C56" s="56" t="s">
        <v>23</v>
      </c>
      <c r="D56" s="56">
        <v>4</v>
      </c>
      <c r="E56" s="58">
        <v>14.98</v>
      </c>
      <c r="F56" s="58">
        <f t="shared" si="1"/>
        <v>59.92</v>
      </c>
      <c r="G56" s="56" t="s">
        <v>198</v>
      </c>
    </row>
    <row r="57" spans="1:7" ht="34.9" customHeight="1">
      <c r="A57" s="56">
        <v>27</v>
      </c>
      <c r="B57" s="64" t="s">
        <v>197</v>
      </c>
      <c r="C57" s="56" t="s">
        <v>23</v>
      </c>
      <c r="D57" s="56">
        <v>6</v>
      </c>
      <c r="E57" s="58">
        <v>11.58</v>
      </c>
      <c r="F57" s="58">
        <f t="shared" si="1"/>
        <v>69.48</v>
      </c>
      <c r="G57" s="56" t="s">
        <v>196</v>
      </c>
    </row>
    <row r="58" spans="1:7" ht="34.9" customHeight="1">
      <c r="A58" s="56">
        <v>28</v>
      </c>
      <c r="B58" s="64" t="s">
        <v>195</v>
      </c>
      <c r="C58" s="56" t="s">
        <v>23</v>
      </c>
      <c r="D58" s="56">
        <v>4</v>
      </c>
      <c r="E58" s="58">
        <v>19.010000000000002</v>
      </c>
      <c r="F58" s="58">
        <f t="shared" si="1"/>
        <v>76.040000000000006</v>
      </c>
      <c r="G58" s="56" t="s">
        <v>194</v>
      </c>
    </row>
    <row r="59" spans="1:7" ht="34.9" customHeight="1">
      <c r="A59" s="56">
        <v>29</v>
      </c>
      <c r="B59" s="64" t="s">
        <v>193</v>
      </c>
      <c r="C59" s="56" t="s">
        <v>23</v>
      </c>
      <c r="D59" s="56">
        <v>4</v>
      </c>
      <c r="E59" s="58">
        <v>37.03</v>
      </c>
      <c r="F59" s="58">
        <f t="shared" si="1"/>
        <v>148.12</v>
      </c>
      <c r="G59" s="56" t="s">
        <v>192</v>
      </c>
    </row>
    <row r="60" spans="1:7" ht="34.9" customHeight="1">
      <c r="A60" s="56">
        <v>30</v>
      </c>
      <c r="B60" s="64" t="s">
        <v>191</v>
      </c>
      <c r="C60" s="56" t="s">
        <v>23</v>
      </c>
      <c r="D60" s="56">
        <v>4</v>
      </c>
      <c r="E60" s="58">
        <v>40.090000000000003</v>
      </c>
      <c r="F60" s="58">
        <f t="shared" si="1"/>
        <v>160.36000000000001</v>
      </c>
      <c r="G60" s="56" t="s">
        <v>190</v>
      </c>
    </row>
    <row r="61" spans="1:7" ht="34.9" customHeight="1">
      <c r="A61" s="56">
        <v>31</v>
      </c>
      <c r="B61" s="64" t="s">
        <v>189</v>
      </c>
      <c r="C61" s="56" t="s">
        <v>23</v>
      </c>
      <c r="D61" s="56">
        <v>4</v>
      </c>
      <c r="E61" s="58">
        <v>100.92</v>
      </c>
      <c r="F61" s="58">
        <f t="shared" si="1"/>
        <v>403.68</v>
      </c>
      <c r="G61" s="56" t="s">
        <v>188</v>
      </c>
    </row>
    <row r="62" spans="1:7" ht="34.700000000000003" customHeight="1">
      <c r="A62" s="56">
        <v>32</v>
      </c>
      <c r="B62" s="64" t="s">
        <v>187</v>
      </c>
      <c r="C62" s="56" t="s">
        <v>23</v>
      </c>
      <c r="D62" s="56">
        <v>6</v>
      </c>
      <c r="E62" s="58">
        <v>1.02</v>
      </c>
      <c r="F62" s="58">
        <f t="shared" si="1"/>
        <v>6.12</v>
      </c>
      <c r="G62" s="56" t="s">
        <v>186</v>
      </c>
    </row>
    <row r="63" spans="1:7" ht="34.700000000000003" customHeight="1">
      <c r="A63" s="56">
        <v>33</v>
      </c>
      <c r="B63" s="64" t="s">
        <v>185</v>
      </c>
      <c r="C63" s="56" t="s">
        <v>23</v>
      </c>
      <c r="D63" s="56">
        <v>4</v>
      </c>
      <c r="E63" s="58">
        <v>2.5</v>
      </c>
      <c r="F63" s="58">
        <f t="shared" ref="F63:F92" si="2">D63*E63</f>
        <v>10</v>
      </c>
      <c r="G63" s="56" t="s">
        <v>184</v>
      </c>
    </row>
    <row r="64" spans="1:7" ht="34.700000000000003" customHeight="1">
      <c r="A64" s="56">
        <v>34</v>
      </c>
      <c r="B64" s="64" t="s">
        <v>183</v>
      </c>
      <c r="C64" s="56" t="s">
        <v>23</v>
      </c>
      <c r="D64" s="56">
        <v>4</v>
      </c>
      <c r="E64" s="58">
        <v>5.0999999999999996</v>
      </c>
      <c r="F64" s="58">
        <f t="shared" si="2"/>
        <v>20.399999999999999</v>
      </c>
      <c r="G64" s="56" t="s">
        <v>182</v>
      </c>
    </row>
    <row r="65" spans="1:7" ht="34.700000000000003" customHeight="1">
      <c r="A65" s="56">
        <v>35</v>
      </c>
      <c r="B65" s="64" t="s">
        <v>181</v>
      </c>
      <c r="C65" s="56" t="s">
        <v>23</v>
      </c>
      <c r="D65" s="56">
        <v>4</v>
      </c>
      <c r="E65" s="58">
        <v>5.98</v>
      </c>
      <c r="F65" s="58">
        <f t="shared" si="2"/>
        <v>23.92</v>
      </c>
      <c r="G65" s="56" t="s">
        <v>180</v>
      </c>
    </row>
    <row r="66" spans="1:7" ht="34.700000000000003" customHeight="1">
      <c r="A66" s="56">
        <v>36</v>
      </c>
      <c r="B66" s="64" t="s">
        <v>179</v>
      </c>
      <c r="C66" s="56" t="s">
        <v>23</v>
      </c>
      <c r="D66" s="56">
        <v>4</v>
      </c>
      <c r="E66" s="58">
        <v>15.58</v>
      </c>
      <c r="F66" s="58">
        <f t="shared" si="2"/>
        <v>62.32</v>
      </c>
      <c r="G66" s="56" t="s">
        <v>178</v>
      </c>
    </row>
    <row r="67" spans="1:7" ht="34.700000000000003" customHeight="1">
      <c r="A67" s="56">
        <v>37</v>
      </c>
      <c r="B67" s="64" t="s">
        <v>177</v>
      </c>
      <c r="C67" s="56" t="s">
        <v>23</v>
      </c>
      <c r="D67" s="56">
        <v>2</v>
      </c>
      <c r="E67" s="58">
        <v>7</v>
      </c>
      <c r="F67" s="58">
        <f t="shared" si="2"/>
        <v>14</v>
      </c>
      <c r="G67" s="56" t="s">
        <v>176</v>
      </c>
    </row>
    <row r="68" spans="1:7" ht="34.9" customHeight="1">
      <c r="A68" s="56">
        <v>38</v>
      </c>
      <c r="B68" s="64" t="s">
        <v>175</v>
      </c>
      <c r="C68" s="56" t="s">
        <v>23</v>
      </c>
      <c r="D68" s="56">
        <v>8</v>
      </c>
      <c r="E68" s="58">
        <v>4.51</v>
      </c>
      <c r="F68" s="58">
        <f t="shared" si="2"/>
        <v>36.08</v>
      </c>
      <c r="G68" s="56" t="s">
        <v>174</v>
      </c>
    </row>
    <row r="69" spans="1:7" ht="38.25">
      <c r="A69" s="56">
        <v>39</v>
      </c>
      <c r="B69" s="64" t="s">
        <v>173</v>
      </c>
      <c r="C69" s="56" t="s">
        <v>23</v>
      </c>
      <c r="D69" s="56">
        <v>4</v>
      </c>
      <c r="E69" s="58">
        <v>0.15</v>
      </c>
      <c r="F69" s="58">
        <f t="shared" si="2"/>
        <v>0.6</v>
      </c>
      <c r="G69" s="56" t="s">
        <v>172</v>
      </c>
    </row>
    <row r="70" spans="1:7" ht="38.25" customHeight="1">
      <c r="A70" s="56">
        <v>40</v>
      </c>
      <c r="B70" s="64" t="s">
        <v>171</v>
      </c>
      <c r="C70" s="56" t="s">
        <v>23</v>
      </c>
      <c r="D70" s="56">
        <v>4</v>
      </c>
      <c r="E70" s="58">
        <v>4.72</v>
      </c>
      <c r="F70" s="58">
        <f t="shared" si="2"/>
        <v>18.88</v>
      </c>
      <c r="G70" s="56" t="s">
        <v>123</v>
      </c>
    </row>
    <row r="71" spans="1:7" ht="38.25" customHeight="1">
      <c r="A71" s="56">
        <v>41</v>
      </c>
      <c r="B71" s="64" t="s">
        <v>170</v>
      </c>
      <c r="C71" s="56" t="s">
        <v>23</v>
      </c>
      <c r="D71" s="56">
        <v>4</v>
      </c>
      <c r="E71" s="58">
        <v>1.07</v>
      </c>
      <c r="F71" s="58">
        <f t="shared" si="2"/>
        <v>4.28</v>
      </c>
      <c r="G71" s="56" t="s">
        <v>169</v>
      </c>
    </row>
    <row r="72" spans="1:7" ht="48.75" customHeight="1">
      <c r="A72" s="56">
        <v>42</v>
      </c>
      <c r="B72" s="64" t="s">
        <v>168</v>
      </c>
      <c r="C72" s="56" t="s">
        <v>23</v>
      </c>
      <c r="D72" s="56">
        <v>1</v>
      </c>
      <c r="E72" s="58">
        <v>51.69</v>
      </c>
      <c r="F72" s="58">
        <f t="shared" si="2"/>
        <v>51.69</v>
      </c>
      <c r="G72" s="56" t="s">
        <v>167</v>
      </c>
    </row>
    <row r="73" spans="1:7" ht="46.7" customHeight="1">
      <c r="A73" s="56">
        <v>43</v>
      </c>
      <c r="B73" s="64" t="s">
        <v>166</v>
      </c>
      <c r="C73" s="56" t="s">
        <v>23</v>
      </c>
      <c r="D73" s="56">
        <v>1</v>
      </c>
      <c r="E73" s="58">
        <v>123.89</v>
      </c>
      <c r="F73" s="58">
        <f t="shared" si="2"/>
        <v>123.89</v>
      </c>
      <c r="G73" s="56" t="s">
        <v>165</v>
      </c>
    </row>
    <row r="74" spans="1:7" ht="48.75" customHeight="1">
      <c r="A74" s="56">
        <v>44</v>
      </c>
      <c r="B74" s="64" t="s">
        <v>164</v>
      </c>
      <c r="C74" s="56" t="s">
        <v>23</v>
      </c>
      <c r="D74" s="56">
        <v>1</v>
      </c>
      <c r="E74" s="58">
        <v>79.900000000000006</v>
      </c>
      <c r="F74" s="58">
        <f t="shared" si="2"/>
        <v>79.900000000000006</v>
      </c>
      <c r="G74" s="56" t="s">
        <v>163</v>
      </c>
    </row>
    <row r="75" spans="1:7">
      <c r="A75" s="56">
        <v>45</v>
      </c>
      <c r="B75" s="63" t="s">
        <v>304</v>
      </c>
      <c r="C75" s="56" t="s">
        <v>23</v>
      </c>
      <c r="D75" s="56">
        <v>10</v>
      </c>
      <c r="E75" s="58">
        <v>79.989999999999995</v>
      </c>
      <c r="F75" s="58">
        <f t="shared" si="2"/>
        <v>799.9</v>
      </c>
      <c r="G75" s="56" t="s">
        <v>123</v>
      </c>
    </row>
    <row r="76" spans="1:7" ht="25.5">
      <c r="A76" s="56">
        <v>46</v>
      </c>
      <c r="B76" s="64" t="s">
        <v>162</v>
      </c>
      <c r="C76" s="56" t="s">
        <v>23</v>
      </c>
      <c r="D76" s="56">
        <v>4</v>
      </c>
      <c r="E76" s="58">
        <v>1.61</v>
      </c>
      <c r="F76" s="58">
        <f t="shared" si="2"/>
        <v>6.44</v>
      </c>
      <c r="G76" s="56" t="s">
        <v>161</v>
      </c>
    </row>
    <row r="77" spans="1:7" ht="25.5">
      <c r="A77" s="56">
        <v>47</v>
      </c>
      <c r="B77" s="64" t="s">
        <v>160</v>
      </c>
      <c r="C77" s="56" t="s">
        <v>23</v>
      </c>
      <c r="D77" s="56">
        <v>4</v>
      </c>
      <c r="E77" s="58">
        <v>5.37</v>
      </c>
      <c r="F77" s="58">
        <f t="shared" si="2"/>
        <v>21.48</v>
      </c>
      <c r="G77" s="56" t="s">
        <v>159</v>
      </c>
    </row>
    <row r="78" spans="1:7" ht="25.5">
      <c r="A78" s="56">
        <v>48</v>
      </c>
      <c r="B78" s="64" t="s">
        <v>158</v>
      </c>
      <c r="C78" s="56" t="s">
        <v>23</v>
      </c>
      <c r="D78" s="56">
        <v>4</v>
      </c>
      <c r="E78" s="58">
        <v>11.76</v>
      </c>
      <c r="F78" s="58">
        <f t="shared" si="2"/>
        <v>47.04</v>
      </c>
      <c r="G78" s="56" t="s">
        <v>157</v>
      </c>
    </row>
    <row r="79" spans="1:7" ht="25.5">
      <c r="A79" s="56">
        <v>49</v>
      </c>
      <c r="B79" s="64" t="s">
        <v>156</v>
      </c>
      <c r="C79" s="56" t="s">
        <v>23</v>
      </c>
      <c r="D79" s="56">
        <v>4</v>
      </c>
      <c r="E79" s="58">
        <v>13.14</v>
      </c>
      <c r="F79" s="58">
        <f t="shared" si="2"/>
        <v>52.56</v>
      </c>
      <c r="G79" s="56" t="s">
        <v>155</v>
      </c>
    </row>
    <row r="80" spans="1:7" ht="25.5">
      <c r="A80" s="56">
        <v>50</v>
      </c>
      <c r="B80" s="64" t="s">
        <v>154</v>
      </c>
      <c r="C80" s="56" t="s">
        <v>23</v>
      </c>
      <c r="D80" s="56">
        <v>6</v>
      </c>
      <c r="E80" s="58">
        <v>39.159999999999997</v>
      </c>
      <c r="F80" s="58">
        <f t="shared" si="2"/>
        <v>234.95999999999998</v>
      </c>
      <c r="G80" s="56" t="s">
        <v>153</v>
      </c>
    </row>
    <row r="81" spans="1:7" ht="28.5">
      <c r="A81" s="56">
        <v>51</v>
      </c>
      <c r="B81" s="63" t="s">
        <v>288</v>
      </c>
      <c r="C81" s="56" t="s">
        <v>23</v>
      </c>
      <c r="D81" s="56">
        <v>2</v>
      </c>
      <c r="E81" s="58">
        <v>123.22</v>
      </c>
      <c r="F81" s="58">
        <f t="shared" si="2"/>
        <v>246.44</v>
      </c>
      <c r="G81" s="56" t="s">
        <v>152</v>
      </c>
    </row>
    <row r="82" spans="1:7" ht="25.5">
      <c r="A82" s="56">
        <v>52</v>
      </c>
      <c r="B82" s="63" t="s">
        <v>289</v>
      </c>
      <c r="C82" s="56" t="s">
        <v>23</v>
      </c>
      <c r="D82" s="56">
        <v>2</v>
      </c>
      <c r="E82" s="58">
        <v>78.94</v>
      </c>
      <c r="F82" s="58">
        <f t="shared" si="2"/>
        <v>157.88</v>
      </c>
      <c r="G82" s="56" t="s">
        <v>151</v>
      </c>
    </row>
    <row r="83" spans="1:7" ht="25.5">
      <c r="A83" s="56">
        <v>53</v>
      </c>
      <c r="B83" s="63" t="s">
        <v>290</v>
      </c>
      <c r="C83" s="56" t="s">
        <v>23</v>
      </c>
      <c r="D83" s="56">
        <v>2</v>
      </c>
      <c r="E83" s="58">
        <v>78.14</v>
      </c>
      <c r="F83" s="58">
        <f t="shared" si="2"/>
        <v>156.28</v>
      </c>
      <c r="G83" s="56" t="s">
        <v>150</v>
      </c>
    </row>
    <row r="84" spans="1:7" ht="25.5">
      <c r="A84" s="56">
        <v>54</v>
      </c>
      <c r="B84" s="63" t="s">
        <v>291</v>
      </c>
      <c r="C84" s="56" t="s">
        <v>23</v>
      </c>
      <c r="D84" s="56">
        <v>4</v>
      </c>
      <c r="E84" s="58">
        <v>103.48</v>
      </c>
      <c r="F84" s="58">
        <f t="shared" si="2"/>
        <v>413.92</v>
      </c>
      <c r="G84" s="56" t="s">
        <v>149</v>
      </c>
    </row>
    <row r="85" spans="1:7" ht="38.25">
      <c r="A85" s="56">
        <v>55</v>
      </c>
      <c r="B85" s="64" t="s">
        <v>148</v>
      </c>
      <c r="C85" s="56" t="s">
        <v>23</v>
      </c>
      <c r="D85" s="56">
        <v>1</v>
      </c>
      <c r="E85" s="58">
        <v>16.155999999999999</v>
      </c>
      <c r="F85" s="58">
        <f t="shared" si="2"/>
        <v>16.155999999999999</v>
      </c>
      <c r="G85" s="56" t="s">
        <v>147</v>
      </c>
    </row>
    <row r="86" spans="1:7" ht="38.25">
      <c r="A86" s="56">
        <v>56</v>
      </c>
      <c r="B86" s="64" t="s">
        <v>146</v>
      </c>
      <c r="C86" s="56" t="s">
        <v>23</v>
      </c>
      <c r="D86" s="56">
        <v>1</v>
      </c>
      <c r="E86" s="58">
        <v>4.83</v>
      </c>
      <c r="F86" s="58">
        <f t="shared" si="2"/>
        <v>4.83</v>
      </c>
      <c r="G86" s="56" t="s">
        <v>145</v>
      </c>
    </row>
    <row r="87" spans="1:7" ht="38.25">
      <c r="A87" s="56">
        <v>57</v>
      </c>
      <c r="B87" s="64" t="s">
        <v>144</v>
      </c>
      <c r="C87" s="56" t="s">
        <v>23</v>
      </c>
      <c r="D87" s="56">
        <v>1</v>
      </c>
      <c r="E87" s="58">
        <v>10.84</v>
      </c>
      <c r="F87" s="58">
        <f t="shared" si="2"/>
        <v>10.84</v>
      </c>
      <c r="G87" s="56" t="s">
        <v>143</v>
      </c>
    </row>
    <row r="88" spans="1:7" ht="38.25">
      <c r="A88" s="56">
        <v>58</v>
      </c>
      <c r="B88" s="64" t="s">
        <v>142</v>
      </c>
      <c r="C88" s="56" t="s">
        <v>23</v>
      </c>
      <c r="D88" s="56">
        <v>1</v>
      </c>
      <c r="E88" s="58">
        <v>18.09</v>
      </c>
      <c r="F88" s="58">
        <f t="shared" si="2"/>
        <v>18.09</v>
      </c>
      <c r="G88" s="56" t="s">
        <v>141</v>
      </c>
    </row>
    <row r="89" spans="1:7" ht="38.25">
      <c r="A89" s="56">
        <v>59</v>
      </c>
      <c r="B89" s="64" t="s">
        <v>140</v>
      </c>
      <c r="C89" s="56" t="s">
        <v>23</v>
      </c>
      <c r="D89" s="56">
        <v>1</v>
      </c>
      <c r="E89" s="58">
        <v>30.51</v>
      </c>
      <c r="F89" s="58">
        <f t="shared" si="2"/>
        <v>30.51</v>
      </c>
      <c r="G89" s="56" t="s">
        <v>139</v>
      </c>
    </row>
    <row r="90" spans="1:7">
      <c r="A90" s="56">
        <v>60</v>
      </c>
      <c r="B90" s="63" t="s">
        <v>138</v>
      </c>
      <c r="C90" s="56" t="s">
        <v>23</v>
      </c>
      <c r="D90" s="56">
        <v>3</v>
      </c>
      <c r="E90" s="58">
        <v>229.97</v>
      </c>
      <c r="F90" s="58">
        <f t="shared" si="2"/>
        <v>689.91</v>
      </c>
      <c r="G90" s="56" t="s">
        <v>137</v>
      </c>
    </row>
    <row r="91" spans="1:7">
      <c r="A91" s="56">
        <v>61</v>
      </c>
      <c r="B91" s="63" t="s">
        <v>136</v>
      </c>
      <c r="C91" s="56" t="s">
        <v>23</v>
      </c>
      <c r="D91" s="56">
        <v>3</v>
      </c>
      <c r="E91" s="58">
        <v>179</v>
      </c>
      <c r="F91" s="58">
        <f t="shared" si="2"/>
        <v>537</v>
      </c>
      <c r="G91" s="56" t="s">
        <v>135</v>
      </c>
    </row>
    <row r="92" spans="1:7">
      <c r="A92" s="56">
        <v>62</v>
      </c>
      <c r="B92" s="63" t="s">
        <v>134</v>
      </c>
      <c r="C92" s="56" t="s">
        <v>23</v>
      </c>
      <c r="D92" s="56">
        <v>3</v>
      </c>
      <c r="E92" s="58">
        <v>227.72</v>
      </c>
      <c r="F92" s="58">
        <f t="shared" si="2"/>
        <v>683.16</v>
      </c>
      <c r="G92" s="56" t="s">
        <v>133</v>
      </c>
    </row>
    <row r="93" spans="1:7">
      <c r="A93" s="69"/>
      <c r="C93" s="69"/>
      <c r="D93" s="69"/>
      <c r="E93" s="71"/>
      <c r="F93" s="71"/>
      <c r="G93" s="69"/>
    </row>
    <row r="94" spans="1:7">
      <c r="A94" s="341" t="s">
        <v>132</v>
      </c>
      <c r="B94" s="341"/>
      <c r="C94" s="341"/>
      <c r="D94" s="341"/>
      <c r="E94" s="341"/>
      <c r="F94" s="341"/>
      <c r="G94" s="341"/>
    </row>
    <row r="95" spans="1:7" ht="25.5">
      <c r="A95" s="66" t="s">
        <v>22</v>
      </c>
      <c r="B95" s="66" t="s">
        <v>21</v>
      </c>
      <c r="C95" s="66" t="s">
        <v>23</v>
      </c>
      <c r="D95" s="66" t="s">
        <v>131</v>
      </c>
      <c r="E95" s="66" t="s">
        <v>264</v>
      </c>
      <c r="F95" s="66" t="s">
        <v>265</v>
      </c>
      <c r="G95" s="66" t="s">
        <v>130</v>
      </c>
    </row>
    <row r="96" spans="1:7" ht="28.5">
      <c r="A96" s="56">
        <v>1</v>
      </c>
      <c r="B96" s="63" t="s">
        <v>292</v>
      </c>
      <c r="C96" s="56" t="s">
        <v>23</v>
      </c>
      <c r="D96" s="56">
        <v>6</v>
      </c>
      <c r="E96" s="58">
        <v>6.87</v>
      </c>
      <c r="F96" s="58">
        <f t="shared" ref="F96:F123" si="3">D96*E96</f>
        <v>41.22</v>
      </c>
      <c r="G96" s="56" t="s">
        <v>129</v>
      </c>
    </row>
    <row r="97" spans="1:7" ht="28.5">
      <c r="A97" s="56">
        <v>2</v>
      </c>
      <c r="B97" s="63" t="s">
        <v>293</v>
      </c>
      <c r="C97" s="56" t="s">
        <v>23</v>
      </c>
      <c r="D97" s="56">
        <v>2</v>
      </c>
      <c r="E97" s="58">
        <v>69.040000000000006</v>
      </c>
      <c r="F97" s="58">
        <f t="shared" si="3"/>
        <v>138.08000000000001</v>
      </c>
      <c r="G97" s="56" t="s">
        <v>123</v>
      </c>
    </row>
    <row r="98" spans="1:7" ht="28.5">
      <c r="A98" s="56">
        <v>3</v>
      </c>
      <c r="B98" s="63" t="s">
        <v>294</v>
      </c>
      <c r="C98" s="56" t="s">
        <v>23</v>
      </c>
      <c r="D98" s="56">
        <v>3</v>
      </c>
      <c r="E98" s="58">
        <v>28.39</v>
      </c>
      <c r="F98" s="58">
        <f t="shared" si="3"/>
        <v>85.17</v>
      </c>
      <c r="G98" s="56" t="s">
        <v>128</v>
      </c>
    </row>
    <row r="99" spans="1:7" ht="28.5">
      <c r="A99" s="56">
        <v>4</v>
      </c>
      <c r="B99" s="63" t="s">
        <v>295</v>
      </c>
      <c r="C99" s="56" t="s">
        <v>23</v>
      </c>
      <c r="D99" s="56">
        <v>2</v>
      </c>
      <c r="E99" s="58">
        <v>51.39</v>
      </c>
      <c r="F99" s="58">
        <f t="shared" si="3"/>
        <v>102.78</v>
      </c>
      <c r="G99" s="56" t="s">
        <v>123</v>
      </c>
    </row>
    <row r="100" spans="1:7" ht="28.5">
      <c r="A100" s="56">
        <v>5</v>
      </c>
      <c r="B100" s="63" t="s">
        <v>296</v>
      </c>
      <c r="C100" s="56" t="s">
        <v>23</v>
      </c>
      <c r="D100" s="56">
        <v>2</v>
      </c>
      <c r="E100" s="58">
        <v>36.36</v>
      </c>
      <c r="F100" s="58">
        <f t="shared" si="3"/>
        <v>72.72</v>
      </c>
      <c r="G100" s="56" t="s">
        <v>123</v>
      </c>
    </row>
    <row r="101" spans="1:7" ht="28.5">
      <c r="A101" s="56">
        <v>6</v>
      </c>
      <c r="B101" s="63" t="s">
        <v>297</v>
      </c>
      <c r="C101" s="56" t="s">
        <v>23</v>
      </c>
      <c r="D101" s="56">
        <v>4</v>
      </c>
      <c r="E101" s="58">
        <v>114.65</v>
      </c>
      <c r="F101" s="58">
        <f t="shared" si="3"/>
        <v>458.6</v>
      </c>
      <c r="G101" s="56" t="s">
        <v>127</v>
      </c>
    </row>
    <row r="102" spans="1:7" ht="28.5">
      <c r="A102" s="56">
        <v>7</v>
      </c>
      <c r="B102" s="63" t="s">
        <v>298</v>
      </c>
      <c r="C102" s="56" t="s">
        <v>23</v>
      </c>
      <c r="D102" s="56">
        <v>2</v>
      </c>
      <c r="E102" s="58">
        <v>134.08000000000001</v>
      </c>
      <c r="F102" s="58">
        <f t="shared" si="3"/>
        <v>268.16000000000003</v>
      </c>
      <c r="G102" s="56" t="s">
        <v>126</v>
      </c>
    </row>
    <row r="103" spans="1:7" ht="28.5">
      <c r="A103" s="56">
        <v>8</v>
      </c>
      <c r="B103" s="63" t="s">
        <v>299</v>
      </c>
      <c r="C103" s="56" t="s">
        <v>23</v>
      </c>
      <c r="D103" s="56">
        <v>3</v>
      </c>
      <c r="E103" s="58">
        <v>114.65</v>
      </c>
      <c r="F103" s="58">
        <f t="shared" si="3"/>
        <v>343.95000000000005</v>
      </c>
      <c r="G103" s="56" t="s">
        <v>125</v>
      </c>
    </row>
    <row r="104" spans="1:7" ht="38.25">
      <c r="A104" s="56">
        <v>9</v>
      </c>
      <c r="B104" s="64" t="s">
        <v>124</v>
      </c>
      <c r="C104" s="56" t="s">
        <v>23</v>
      </c>
      <c r="D104" s="56">
        <v>1</v>
      </c>
      <c r="E104" s="58">
        <v>74.849999999999994</v>
      </c>
      <c r="F104" s="58">
        <f t="shared" si="3"/>
        <v>74.849999999999994</v>
      </c>
      <c r="G104" s="56" t="s">
        <v>123</v>
      </c>
    </row>
    <row r="105" spans="1:7" ht="38.25">
      <c r="A105" s="56">
        <v>10</v>
      </c>
      <c r="B105" s="64" t="s">
        <v>122</v>
      </c>
      <c r="C105" s="56" t="s">
        <v>106</v>
      </c>
      <c r="D105" s="56">
        <v>30</v>
      </c>
      <c r="E105" s="58">
        <v>2.94</v>
      </c>
      <c r="F105" s="58">
        <f t="shared" si="3"/>
        <v>88.2</v>
      </c>
      <c r="G105" s="56" t="s">
        <v>121</v>
      </c>
    </row>
    <row r="106" spans="1:7" ht="38.25">
      <c r="A106" s="56">
        <v>11</v>
      </c>
      <c r="B106" s="64" t="s">
        <v>120</v>
      </c>
      <c r="C106" s="56" t="s">
        <v>106</v>
      </c>
      <c r="D106" s="56">
        <v>150</v>
      </c>
      <c r="E106" s="58">
        <v>0.33</v>
      </c>
      <c r="F106" s="58">
        <f t="shared" si="3"/>
        <v>49.5</v>
      </c>
      <c r="G106" s="56" t="s">
        <v>119</v>
      </c>
    </row>
    <row r="107" spans="1:7" ht="25.5">
      <c r="A107" s="56">
        <v>12</v>
      </c>
      <c r="B107" s="63" t="s">
        <v>309</v>
      </c>
      <c r="C107" s="56" t="s">
        <v>106</v>
      </c>
      <c r="D107" s="56">
        <v>90</v>
      </c>
      <c r="E107" s="58">
        <v>11.12</v>
      </c>
      <c r="F107" s="58">
        <f t="shared" si="3"/>
        <v>1000.8</v>
      </c>
      <c r="G107" s="56" t="s">
        <v>118</v>
      </c>
    </row>
    <row r="108" spans="1:7" ht="25.5">
      <c r="A108" s="56">
        <v>13</v>
      </c>
      <c r="B108" s="64" t="s">
        <v>117</v>
      </c>
      <c r="C108" s="56" t="s">
        <v>98</v>
      </c>
      <c r="D108" s="56">
        <v>10</v>
      </c>
      <c r="E108" s="65">
        <v>76.56</v>
      </c>
      <c r="F108" s="65">
        <f t="shared" si="3"/>
        <v>765.6</v>
      </c>
      <c r="G108" s="56" t="s">
        <v>116</v>
      </c>
    </row>
    <row r="109" spans="1:7" ht="25.5">
      <c r="A109" s="56">
        <v>14</v>
      </c>
      <c r="B109" s="64" t="s">
        <v>115</v>
      </c>
      <c r="C109" s="56" t="s">
        <v>112</v>
      </c>
      <c r="D109" s="56">
        <v>18</v>
      </c>
      <c r="E109" s="65">
        <v>4.57</v>
      </c>
      <c r="F109" s="65">
        <f t="shared" si="3"/>
        <v>82.26</v>
      </c>
      <c r="G109" s="56" t="s">
        <v>114</v>
      </c>
    </row>
    <row r="110" spans="1:7" ht="63.75">
      <c r="A110" s="56">
        <v>15</v>
      </c>
      <c r="B110" s="64" t="s">
        <v>113</v>
      </c>
      <c r="C110" s="56" t="s">
        <v>112</v>
      </c>
      <c r="D110" s="56">
        <v>50</v>
      </c>
      <c r="E110" s="65">
        <v>2.54</v>
      </c>
      <c r="F110" s="65">
        <f t="shared" si="3"/>
        <v>127</v>
      </c>
      <c r="G110" s="56" t="s">
        <v>111</v>
      </c>
    </row>
    <row r="111" spans="1:7" ht="25.5">
      <c r="A111" s="56">
        <v>16</v>
      </c>
      <c r="B111" s="63" t="s">
        <v>310</v>
      </c>
      <c r="C111" s="56" t="s">
        <v>23</v>
      </c>
      <c r="D111" s="56">
        <v>1</v>
      </c>
      <c r="E111" s="58">
        <v>794.33</v>
      </c>
      <c r="F111" s="58">
        <f t="shared" si="3"/>
        <v>794.33</v>
      </c>
      <c r="G111" s="56" t="s">
        <v>110</v>
      </c>
    </row>
    <row r="112" spans="1:7" ht="35.25" customHeight="1">
      <c r="A112" s="56">
        <v>17</v>
      </c>
      <c r="B112" s="64" t="s">
        <v>109</v>
      </c>
      <c r="C112" s="56" t="s">
        <v>106</v>
      </c>
      <c r="D112" s="56">
        <v>60</v>
      </c>
      <c r="E112" s="58">
        <v>10.81</v>
      </c>
      <c r="F112" s="58">
        <f t="shared" si="3"/>
        <v>648.6</v>
      </c>
      <c r="G112" s="56" t="s">
        <v>108</v>
      </c>
    </row>
    <row r="113" spans="1:7" ht="38.25">
      <c r="A113" s="56">
        <v>18</v>
      </c>
      <c r="B113" s="64" t="s">
        <v>107</v>
      </c>
      <c r="C113" s="56" t="s">
        <v>106</v>
      </c>
      <c r="D113" s="56">
        <v>90</v>
      </c>
      <c r="E113" s="58">
        <v>8.18</v>
      </c>
      <c r="F113" s="58">
        <f t="shared" si="3"/>
        <v>736.19999999999993</v>
      </c>
      <c r="G113" s="56" t="s">
        <v>105</v>
      </c>
    </row>
    <row r="114" spans="1:7">
      <c r="A114" s="56">
        <v>19</v>
      </c>
      <c r="B114" s="64" t="s">
        <v>104</v>
      </c>
      <c r="C114" s="56" t="s">
        <v>23</v>
      </c>
      <c r="D114" s="56">
        <v>30</v>
      </c>
      <c r="E114" s="58">
        <v>15.07</v>
      </c>
      <c r="F114" s="58">
        <f t="shared" si="3"/>
        <v>452.1</v>
      </c>
      <c r="G114" s="56" t="s">
        <v>102</v>
      </c>
    </row>
    <row r="115" spans="1:7">
      <c r="A115" s="56">
        <v>20</v>
      </c>
      <c r="B115" s="64" t="s">
        <v>103</v>
      </c>
      <c r="C115" s="56" t="s">
        <v>23</v>
      </c>
      <c r="D115" s="56">
        <v>30</v>
      </c>
      <c r="E115" s="58">
        <v>15.07</v>
      </c>
      <c r="F115" s="58">
        <f t="shared" si="3"/>
        <v>452.1</v>
      </c>
      <c r="G115" s="56" t="s">
        <v>102</v>
      </c>
    </row>
    <row r="116" spans="1:7">
      <c r="A116" s="56">
        <v>21</v>
      </c>
      <c r="B116" s="64" t="s">
        <v>101</v>
      </c>
      <c r="C116" s="56" t="s">
        <v>98</v>
      </c>
      <c r="D116" s="56">
        <v>3</v>
      </c>
      <c r="E116" s="58">
        <v>206.84</v>
      </c>
      <c r="F116" s="58">
        <f t="shared" si="3"/>
        <v>620.52</v>
      </c>
      <c r="G116" s="56" t="s">
        <v>99</v>
      </c>
    </row>
    <row r="117" spans="1:7">
      <c r="A117" s="56">
        <v>22</v>
      </c>
      <c r="B117" s="64" t="s">
        <v>100</v>
      </c>
      <c r="C117" s="56" t="s">
        <v>98</v>
      </c>
      <c r="D117" s="56">
        <v>3</v>
      </c>
      <c r="E117" s="58">
        <v>206.84</v>
      </c>
      <c r="F117" s="58">
        <f t="shared" si="3"/>
        <v>620.52</v>
      </c>
      <c r="G117" s="56" t="s">
        <v>99</v>
      </c>
    </row>
    <row r="118" spans="1:7" ht="28.5">
      <c r="A118" s="56">
        <v>23</v>
      </c>
      <c r="B118" s="63" t="s">
        <v>300</v>
      </c>
      <c r="C118" s="56" t="s">
        <v>98</v>
      </c>
      <c r="D118" s="56">
        <v>21.6</v>
      </c>
      <c r="E118" s="58">
        <v>19.68</v>
      </c>
      <c r="F118" s="58">
        <f t="shared" si="3"/>
        <v>425.08800000000002</v>
      </c>
      <c r="G118" s="56" t="s">
        <v>97</v>
      </c>
    </row>
    <row r="119" spans="1:7" ht="28.5">
      <c r="A119" s="56">
        <v>24</v>
      </c>
      <c r="B119" s="63" t="s">
        <v>301</v>
      </c>
      <c r="C119" s="56" t="s">
        <v>98</v>
      </c>
      <c r="D119" s="56">
        <v>25.92</v>
      </c>
      <c r="E119" s="58">
        <v>19.68</v>
      </c>
      <c r="F119" s="58">
        <f t="shared" si="3"/>
        <v>510.10560000000004</v>
      </c>
      <c r="G119" s="56" t="s">
        <v>97</v>
      </c>
    </row>
    <row r="120" spans="1:7" ht="42.75">
      <c r="A120" s="56">
        <v>25</v>
      </c>
      <c r="B120" s="63" t="s">
        <v>302</v>
      </c>
      <c r="C120" s="56" t="s">
        <v>23</v>
      </c>
      <c r="D120" s="56">
        <v>10.8</v>
      </c>
      <c r="E120" s="58">
        <v>28.78</v>
      </c>
      <c r="F120" s="58">
        <f t="shared" si="3"/>
        <v>310.82400000000001</v>
      </c>
      <c r="G120" s="56" t="s">
        <v>96</v>
      </c>
    </row>
    <row r="121" spans="1:7" ht="14.25">
      <c r="A121" s="56">
        <v>26</v>
      </c>
      <c r="B121" s="63" t="s">
        <v>303</v>
      </c>
      <c r="C121" s="56" t="s">
        <v>23</v>
      </c>
      <c r="D121" s="56">
        <v>4</v>
      </c>
      <c r="E121" s="58">
        <v>236.77</v>
      </c>
      <c r="F121" s="58">
        <f t="shared" si="3"/>
        <v>947.08</v>
      </c>
      <c r="G121" s="56" t="s">
        <v>95</v>
      </c>
    </row>
    <row r="122" spans="1:7" ht="38.25">
      <c r="A122" s="56">
        <v>27</v>
      </c>
      <c r="B122" s="64" t="s">
        <v>92</v>
      </c>
      <c r="C122" s="56" t="s">
        <v>91</v>
      </c>
      <c r="D122" s="56">
        <v>36</v>
      </c>
      <c r="E122" s="58">
        <v>23.1</v>
      </c>
      <c r="F122" s="58">
        <f t="shared" si="3"/>
        <v>831.6</v>
      </c>
      <c r="G122" s="56" t="s">
        <v>90</v>
      </c>
    </row>
    <row r="123" spans="1:7">
      <c r="A123" s="56">
        <v>28</v>
      </c>
      <c r="B123" s="64" t="s">
        <v>94</v>
      </c>
      <c r="C123" s="56" t="s">
        <v>23</v>
      </c>
      <c r="D123" s="56">
        <v>10</v>
      </c>
      <c r="E123" s="58">
        <v>35</v>
      </c>
      <c r="F123" s="58">
        <f t="shared" si="3"/>
        <v>350</v>
      </c>
      <c r="G123" s="56" t="s">
        <v>93</v>
      </c>
    </row>
    <row r="124" spans="1:7">
      <c r="A124" s="53"/>
      <c r="B124" s="52" t="s">
        <v>89</v>
      </c>
      <c r="C124" s="53"/>
      <c r="D124" s="53"/>
      <c r="E124" s="53"/>
      <c r="F124" s="67">
        <f>SUM(F4:F123)</f>
        <v>26129.623599999995</v>
      </c>
      <c r="G124" s="53"/>
    </row>
    <row r="125" spans="1:7">
      <c r="A125" s="53"/>
      <c r="B125" s="52" t="s">
        <v>88</v>
      </c>
      <c r="C125" s="53"/>
      <c r="D125" s="53"/>
      <c r="E125" s="53"/>
      <c r="F125" s="72">
        <f>'Cálculo do BDI'!C50</f>
        <v>0.1089</v>
      </c>
      <c r="G125" s="53"/>
    </row>
    <row r="126" spans="1:7">
      <c r="A126" s="53"/>
      <c r="B126" s="54" t="s">
        <v>87</v>
      </c>
      <c r="C126" s="55"/>
      <c r="D126" s="55"/>
      <c r="E126" s="55"/>
      <c r="F126" s="68">
        <f>F124*(1+F125)</f>
        <v>28975.139610039994</v>
      </c>
      <c r="G126" s="53"/>
    </row>
  </sheetData>
  <sheetProtection sheet="1" objects="1" scenarios="1"/>
  <mergeCells count="4">
    <mergeCell ref="A1:F1"/>
    <mergeCell ref="A2:G2"/>
    <mergeCell ref="A29:G29"/>
    <mergeCell ref="A94:G94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DC8CC-29A6-4C27-8E85-603AC1B944DF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22" style="82" customWidth="1"/>
    <col min="5" max="5" width="13.5703125" style="82" customWidth="1"/>
    <col min="6" max="6" width="43.85546875" style="82" customWidth="1"/>
    <col min="7" max="7" width="51.7109375" style="82" customWidth="1"/>
    <col min="8" max="1024" width="9.140625" style="82"/>
  </cols>
  <sheetData>
    <row r="1" spans="2:7" s="83" customFormat="1" ht="25.5">
      <c r="B1" s="81" t="s">
        <v>331</v>
      </c>
      <c r="C1" s="82"/>
      <c r="D1" s="82"/>
      <c r="E1" s="82"/>
      <c r="F1" s="82"/>
      <c r="G1" s="82"/>
    </row>
    <row r="2" spans="2:7">
      <c r="B2" s="84" t="s">
        <v>332</v>
      </c>
      <c r="E2" s="85"/>
    </row>
    <row r="3" spans="2:7">
      <c r="B3" s="84" t="s">
        <v>333</v>
      </c>
      <c r="C3" s="86"/>
      <c r="D3" s="87"/>
      <c r="E3" s="88"/>
    </row>
    <row r="4" spans="2:7">
      <c r="B4" s="89" t="s">
        <v>334</v>
      </c>
      <c r="C4" s="343" t="s">
        <v>335</v>
      </c>
      <c r="D4" s="343"/>
      <c r="E4" s="90" t="s">
        <v>336</v>
      </c>
      <c r="F4" s="90" t="s">
        <v>337</v>
      </c>
    </row>
    <row r="5" spans="2:7" ht="16.5" customHeight="1">
      <c r="B5" s="89" t="s">
        <v>338</v>
      </c>
      <c r="C5" s="342" t="s">
        <v>339</v>
      </c>
      <c r="D5" s="342"/>
      <c r="E5" s="91">
        <f>(1/MESES_NO_ANO)*100</f>
        <v>8.3333333333333321</v>
      </c>
      <c r="F5" s="91" t="s">
        <v>340</v>
      </c>
    </row>
    <row r="6" spans="2:7" s="82" customFormat="1" ht="16.5" customHeight="1">
      <c r="B6" s="90" t="s">
        <v>341</v>
      </c>
      <c r="C6" s="344" t="s">
        <v>342</v>
      </c>
      <c r="D6" s="344"/>
      <c r="E6" s="93">
        <f>(1/3)/MESES_NO_ANO*100</f>
        <v>2.7777777777777777</v>
      </c>
      <c r="F6" s="93" t="s">
        <v>343</v>
      </c>
    </row>
    <row r="7" spans="2:7" s="94" customFormat="1" ht="16.5" customHeight="1">
      <c r="B7" s="345" t="s">
        <v>344</v>
      </c>
      <c r="C7" s="345"/>
      <c r="D7" s="345"/>
      <c r="E7" s="345"/>
      <c r="F7" s="345"/>
    </row>
    <row r="8" spans="2:7" s="94" customFormat="1" ht="34.5" customHeight="1">
      <c r="B8" s="89" t="s">
        <v>345</v>
      </c>
      <c r="C8" s="346" t="s">
        <v>346</v>
      </c>
      <c r="D8" s="346"/>
      <c r="E8" s="90" t="s">
        <v>336</v>
      </c>
    </row>
    <row r="9" spans="2:7" ht="16.5" customHeight="1">
      <c r="B9" s="89" t="s">
        <v>338</v>
      </c>
      <c r="C9" s="342" t="s">
        <v>347</v>
      </c>
      <c r="D9" s="342"/>
      <c r="E9" s="91">
        <v>20</v>
      </c>
    </row>
    <row r="10" spans="2:7" s="83" customFormat="1" ht="16.5" customHeight="1">
      <c r="B10" s="90" t="s">
        <v>341</v>
      </c>
      <c r="C10" s="344" t="s">
        <v>348</v>
      </c>
      <c r="D10" s="344"/>
      <c r="E10" s="95">
        <v>2.5</v>
      </c>
    </row>
    <row r="11" spans="2:7" s="83" customFormat="1" ht="16.5" customHeight="1">
      <c r="B11" s="90" t="s">
        <v>349</v>
      </c>
      <c r="C11" s="342" t="s">
        <v>350</v>
      </c>
      <c r="D11" s="342"/>
      <c r="E11" s="91">
        <v>3</v>
      </c>
    </row>
    <row r="12" spans="2:7" s="83" customFormat="1" ht="16.5" customHeight="1">
      <c r="B12" s="90" t="s">
        <v>351</v>
      </c>
      <c r="C12" s="344" t="s">
        <v>352</v>
      </c>
      <c r="D12" s="344"/>
      <c r="E12" s="93">
        <v>1.5</v>
      </c>
    </row>
    <row r="13" spans="2:7" s="83" customFormat="1" ht="16.5" customHeight="1">
      <c r="B13" s="90" t="s">
        <v>353</v>
      </c>
      <c r="C13" s="342" t="s">
        <v>354</v>
      </c>
      <c r="D13" s="342"/>
      <c r="E13" s="91">
        <v>1</v>
      </c>
    </row>
    <row r="14" spans="2:7" s="83" customFormat="1" ht="16.5" customHeight="1">
      <c r="B14" s="90" t="s">
        <v>355</v>
      </c>
      <c r="C14" s="344" t="s">
        <v>356</v>
      </c>
      <c r="D14" s="344"/>
      <c r="E14" s="95">
        <v>0.6</v>
      </c>
    </row>
    <row r="15" spans="2:7" s="83" customFormat="1" ht="16.5" customHeight="1">
      <c r="B15" s="90" t="s">
        <v>357</v>
      </c>
      <c r="C15" s="342" t="s">
        <v>358</v>
      </c>
      <c r="D15" s="342"/>
      <c r="E15" s="91">
        <v>0.2</v>
      </c>
    </row>
    <row r="16" spans="2:7" ht="16.5" customHeight="1">
      <c r="B16" s="90" t="s">
        <v>359</v>
      </c>
      <c r="C16" s="344" t="s">
        <v>360</v>
      </c>
      <c r="D16" s="344"/>
      <c r="E16" s="95">
        <v>8</v>
      </c>
    </row>
    <row r="17" spans="2:6">
      <c r="B17" s="343" t="s">
        <v>361</v>
      </c>
      <c r="C17" s="343"/>
      <c r="D17" s="343"/>
      <c r="E17" s="96">
        <f>SUM(E9:E16)</f>
        <v>36.799999999999997</v>
      </c>
    </row>
    <row r="18" spans="2:6" s="94" customFormat="1">
      <c r="B18" s="84" t="s">
        <v>362</v>
      </c>
      <c r="C18" s="86"/>
      <c r="D18" s="87"/>
      <c r="E18" s="88"/>
    </row>
    <row r="19" spans="2:6" s="94" customFormat="1" ht="15" customHeight="1">
      <c r="B19" s="89">
        <v>3</v>
      </c>
      <c r="C19" s="343" t="s">
        <v>363</v>
      </c>
      <c r="D19" s="343"/>
      <c r="E19" s="90" t="s">
        <v>336</v>
      </c>
      <c r="F19" s="90" t="s">
        <v>337</v>
      </c>
    </row>
    <row r="20" spans="2:6" s="94" customFormat="1">
      <c r="B20" s="89" t="s">
        <v>338</v>
      </c>
      <c r="C20" s="347" t="s">
        <v>364</v>
      </c>
      <c r="D20" s="347"/>
      <c r="E20" s="91">
        <f>PERC_EMPREG_DEMIT_SEM_JUSTA_CAUSA_TOTAL_DESLIG%*PERC_EMPREG_AVISO_PREVIO_IND%*1/MESES_NO_ANO*100</f>
        <v>0.29105124999999998</v>
      </c>
      <c r="F20" s="91" t="s">
        <v>365</v>
      </c>
    </row>
    <row r="21" spans="2:6" s="94" customFormat="1">
      <c r="B21" s="90" t="s">
        <v>341</v>
      </c>
      <c r="C21" s="348" t="s">
        <v>366</v>
      </c>
      <c r="D21" s="348"/>
      <c r="E21" s="95">
        <f>PERC_EMPREG_DEMIT_SEM_JUSTA_CAUSA_TOTAL_DESLIG%*PERC_EMPREG_AVISO_PREVIO_TRAB%*(DIAS_NA_SEMANA/DIAS_NO_MES)/MESES_NO_ANO*100</f>
        <v>1.1557269305555555</v>
      </c>
      <c r="F21" s="93" t="s">
        <v>367</v>
      </c>
    </row>
    <row r="22" spans="2:6" s="83" customFormat="1" ht="16.5" customHeight="1">
      <c r="B22" s="90" t="s">
        <v>349</v>
      </c>
      <c r="C22" s="347" t="s">
        <v>368</v>
      </c>
      <c r="D22" s="347"/>
      <c r="E22" s="91">
        <f>ROUNDUP(PERC_AVISO_PREVIO_TRAB%*(PERC_MULTA_FGTS%)*PERC_FGTS%*100,2)</f>
        <v>0.04</v>
      </c>
      <c r="F22" s="91" t="s">
        <v>369</v>
      </c>
    </row>
    <row r="23" spans="2:6" s="83" customFormat="1" ht="15.95" customHeight="1">
      <c r="B23" s="84" t="s">
        <v>370</v>
      </c>
      <c r="C23" s="86"/>
      <c r="D23" s="87"/>
      <c r="E23" s="82"/>
    </row>
    <row r="24" spans="2:6" s="83" customFormat="1" ht="15.95" customHeight="1">
      <c r="B24" s="84" t="s">
        <v>371</v>
      </c>
      <c r="C24" s="86"/>
      <c r="D24" s="87"/>
      <c r="E24" s="88"/>
    </row>
    <row r="25" spans="2:6" s="83" customFormat="1" ht="16.5" customHeight="1">
      <c r="B25" s="89" t="s">
        <v>372</v>
      </c>
      <c r="C25" s="350" t="s">
        <v>373</v>
      </c>
      <c r="D25" s="350"/>
      <c r="E25" s="90" t="s">
        <v>336</v>
      </c>
      <c r="F25" s="90" t="s">
        <v>337</v>
      </c>
    </row>
    <row r="26" spans="2:6" s="83" customFormat="1" ht="15.95" customHeight="1">
      <c r="B26" s="90" t="s">
        <v>338</v>
      </c>
      <c r="C26" s="342" t="s">
        <v>374</v>
      </c>
      <c r="D26" s="342"/>
      <c r="E26" s="91">
        <f>(1/MESES_NO_ANO)*100</f>
        <v>8.3333333333333321</v>
      </c>
      <c r="F26" s="91" t="s">
        <v>375</v>
      </c>
    </row>
    <row r="27" spans="2:6" s="83" customFormat="1" ht="15.95" customHeight="1">
      <c r="B27" s="90" t="s">
        <v>341</v>
      </c>
      <c r="C27" s="92" t="s">
        <v>376</v>
      </c>
      <c r="D27" s="92"/>
      <c r="E27" s="95">
        <f>(DIAS_AUSENCIAS_LEGAIS/DIAS_NO_MES)/MESES_NO_ANO*100</f>
        <v>2.2222222222222223</v>
      </c>
      <c r="F27" s="93" t="s">
        <v>377</v>
      </c>
    </row>
    <row r="28" spans="2:6" s="83" customFormat="1" ht="15.95" customHeight="1">
      <c r="B28" s="90" t="s">
        <v>349</v>
      </c>
      <c r="C28" s="342" t="s">
        <v>378</v>
      </c>
      <c r="D28" s="342"/>
      <c r="E28" s="91">
        <f>(((DIAS_LICENCA_PATERNIDADE/DIAS_NO_MES)/MESES_NO_ANO)*PERC_NASCIDOS_VIVOS_POPUL_FEM%*PERC_PARTIC_MASC_VIGIL%)*100</f>
        <v>3.5673555555555549E-2</v>
      </c>
      <c r="F28" s="91" t="s">
        <v>379</v>
      </c>
    </row>
    <row r="29" spans="2:6" s="83" customFormat="1" ht="16.5" customHeight="1">
      <c r="B29" s="90" t="s">
        <v>351</v>
      </c>
      <c r="C29" s="344" t="s">
        <v>380</v>
      </c>
      <c r="D29" s="344"/>
      <c r="E29" s="95">
        <f>(DIAS_PAGOS_EMPRESA_ACID_TRAB/DIAS_NO_MES)/MESES_NO_ANO*PERC_EMPREG_AFAST_TRAB%*100</f>
        <v>1.85302229372558E-2</v>
      </c>
      <c r="F29" s="93" t="s">
        <v>381</v>
      </c>
    </row>
    <row r="30" spans="2:6" s="83" customFormat="1" ht="33" customHeight="1">
      <c r="B30" s="90" t="s">
        <v>353</v>
      </c>
      <c r="C30" s="342" t="s">
        <v>382</v>
      </c>
      <c r="D30" s="342"/>
      <c r="E30" s="91">
        <f>(((DIAS_LICENCA_MATERNIDADE/DIAS_NO_MES)/MESES_NO_ANO)*PERC_NASCIDOS_VIVOS_POPUL_FEM%*PERC_PARTIC_FEM_VIGIL%*PERC_GPS_FGTS%*100)</f>
        <v>0.14312918399999999</v>
      </c>
      <c r="F30" s="91" t="s">
        <v>383</v>
      </c>
    </row>
    <row r="31" spans="2:6" s="83" customFormat="1">
      <c r="B31" s="90" t="s">
        <v>355</v>
      </c>
      <c r="C31" s="344" t="str">
        <f>OUTRAS_AUSENCIAS_DESCRICAO</f>
        <v>Outras Ausências (Especificar - em %)</v>
      </c>
      <c r="D31" s="344"/>
      <c r="E31" s="95">
        <f>PERC_SUBSTITUTO_OUTRAS_AUSENCIAS</f>
        <v>0</v>
      </c>
      <c r="F31" s="93"/>
    </row>
    <row r="33" spans="2:7" ht="20.25">
      <c r="B33" s="97" t="s">
        <v>384</v>
      </c>
    </row>
    <row r="34" spans="2:7" ht="42.75" customHeight="1">
      <c r="B34" s="349" t="s">
        <v>385</v>
      </c>
      <c r="C34" s="349"/>
      <c r="D34" s="349"/>
      <c r="E34" s="349"/>
      <c r="G34" s="98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16C28B3E-2DA9-4389-8AE2-F850AA943826}">
      <formula1>0</formula1>
      <formula2>0.46</formula2>
    </dataValidation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145DFD78-6C00-492D-9122-724F0F157D50}">
      <formula1>0</formula1>
      <formula2>1.94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7A7CD-BB3D-47B4-A62A-4F329A01E8E0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82" customWidth="1"/>
    <col min="2" max="2" width="8.85546875" style="82" customWidth="1"/>
    <col min="3" max="3" width="52.5703125" style="82" customWidth="1"/>
    <col min="4" max="4" width="9.5703125" style="82" customWidth="1"/>
    <col min="5" max="5" width="13.5703125" style="82" customWidth="1"/>
    <col min="6" max="6" width="15.42578125" style="82" customWidth="1"/>
    <col min="7" max="1024" width="9.140625" style="82"/>
  </cols>
  <sheetData>
    <row r="1" spans="1:6" s="83" customFormat="1" ht="25.5">
      <c r="B1" s="81" t="s">
        <v>386</v>
      </c>
      <c r="C1" s="82"/>
      <c r="D1" s="82"/>
      <c r="E1" s="82"/>
      <c r="F1" s="82"/>
    </row>
    <row r="2" spans="1:6">
      <c r="B2" s="84" t="s">
        <v>387</v>
      </c>
      <c r="E2" s="99"/>
      <c r="F2" s="99"/>
    </row>
    <row r="3" spans="1:6" ht="33" customHeight="1">
      <c r="B3" s="89">
        <v>1</v>
      </c>
      <c r="C3" s="350" t="s">
        <v>388</v>
      </c>
      <c r="D3" s="350"/>
      <c r="E3" s="350"/>
      <c r="F3" s="90" t="s">
        <v>389</v>
      </c>
    </row>
    <row r="4" spans="1:6" ht="16.5" customHeight="1">
      <c r="B4" s="89" t="s">
        <v>353</v>
      </c>
      <c r="C4" s="342" t="s">
        <v>390</v>
      </c>
      <c r="D4" s="342"/>
      <c r="E4" s="342"/>
      <c r="F4" s="100">
        <v>220</v>
      </c>
    </row>
    <row r="5" spans="1:6" ht="16.5" customHeight="1">
      <c r="B5" s="89" t="s">
        <v>355</v>
      </c>
      <c r="C5" s="351" t="s">
        <v>391</v>
      </c>
      <c r="D5" s="351"/>
      <c r="E5" s="351"/>
      <c r="F5" s="101">
        <v>7</v>
      </c>
    </row>
    <row r="6" spans="1:6" ht="16.5" customHeight="1">
      <c r="B6" s="89" t="s">
        <v>357</v>
      </c>
      <c r="C6" s="342" t="s">
        <v>392</v>
      </c>
      <c r="D6" s="342"/>
      <c r="E6" s="342"/>
      <c r="F6" s="100">
        <v>365</v>
      </c>
    </row>
    <row r="7" spans="1:6" ht="16.5" customHeight="1">
      <c r="B7" s="89" t="s">
        <v>393</v>
      </c>
      <c r="C7" s="351" t="s">
        <v>394</v>
      </c>
      <c r="D7" s="351"/>
      <c r="E7" s="351"/>
      <c r="F7" s="102">
        <v>15.2</v>
      </c>
    </row>
    <row r="8" spans="1:6" ht="16.5" customHeight="1">
      <c r="B8" s="89" t="s">
        <v>395</v>
      </c>
      <c r="C8" s="342" t="s">
        <v>396</v>
      </c>
      <c r="D8" s="342"/>
      <c r="E8" s="342"/>
      <c r="F8" s="100">
        <v>12</v>
      </c>
    </row>
    <row r="9" spans="1:6" ht="16.5" customHeight="1">
      <c r="B9" s="89" t="s">
        <v>397</v>
      </c>
      <c r="C9" s="351" t="s">
        <v>398</v>
      </c>
      <c r="D9" s="351"/>
      <c r="E9" s="351"/>
      <c r="F9" s="101">
        <v>60</v>
      </c>
    </row>
    <row r="10" spans="1:6" s="82" customFormat="1" ht="16.5" customHeight="1">
      <c r="B10" s="89" t="s">
        <v>91</v>
      </c>
      <c r="C10" s="342" t="s">
        <v>399</v>
      </c>
      <c r="D10" s="342"/>
      <c r="E10" s="342"/>
      <c r="F10" s="103">
        <v>52.5</v>
      </c>
    </row>
    <row r="11" spans="1:6" s="94" customFormat="1"/>
    <row r="12" spans="1:6" s="94" customFormat="1">
      <c r="A12" s="82"/>
      <c r="B12" s="84" t="s">
        <v>400</v>
      </c>
      <c r="C12" s="83"/>
      <c r="D12" s="83"/>
      <c r="E12" s="83"/>
      <c r="F12" s="83"/>
    </row>
    <row r="13" spans="1:6" s="94" customFormat="1" ht="15" customHeight="1">
      <c r="A13" s="82"/>
      <c r="B13" s="89" t="s">
        <v>401</v>
      </c>
      <c r="C13" s="350" t="s">
        <v>402</v>
      </c>
      <c r="D13" s="350"/>
      <c r="E13" s="90" t="s">
        <v>403</v>
      </c>
      <c r="F13" s="90" t="s">
        <v>336</v>
      </c>
    </row>
    <row r="14" spans="1:6" s="94" customFormat="1">
      <c r="B14" s="104" t="s">
        <v>349</v>
      </c>
      <c r="C14" s="352" t="s">
        <v>404</v>
      </c>
      <c r="D14" s="352"/>
      <c r="E14" s="105" t="s">
        <v>405</v>
      </c>
      <c r="F14" s="106">
        <v>6</v>
      </c>
    </row>
    <row r="15" spans="1:6" s="94" customFormat="1"/>
    <row r="16" spans="1:6" s="83" customFormat="1">
      <c r="A16" s="94"/>
      <c r="B16" s="84" t="s">
        <v>362</v>
      </c>
      <c r="C16" s="86"/>
      <c r="D16" s="87"/>
      <c r="E16" s="88"/>
      <c r="F16" s="88"/>
    </row>
    <row r="17" spans="1:6" s="83" customFormat="1">
      <c r="A17" s="94"/>
      <c r="B17" s="89">
        <v>3</v>
      </c>
      <c r="C17" s="343" t="s">
        <v>363</v>
      </c>
      <c r="D17" s="343"/>
      <c r="E17" s="343"/>
      <c r="F17" s="90" t="s">
        <v>406</v>
      </c>
    </row>
    <row r="18" spans="1:6" s="83" customFormat="1" ht="16.5" customHeight="1">
      <c r="A18" s="94"/>
      <c r="B18" s="89" t="s">
        <v>338</v>
      </c>
      <c r="C18" s="342" t="s">
        <v>407</v>
      </c>
      <c r="D18" s="342"/>
      <c r="E18" s="342"/>
      <c r="F18" s="107">
        <v>62.93</v>
      </c>
    </row>
    <row r="19" spans="1:6">
      <c r="A19" s="94"/>
      <c r="B19" s="90" t="s">
        <v>341</v>
      </c>
      <c r="C19" s="353" t="s">
        <v>408</v>
      </c>
      <c r="D19" s="353"/>
      <c r="E19" s="353"/>
      <c r="F19" s="108">
        <v>5.55</v>
      </c>
    </row>
    <row r="20" spans="1:6" s="83" customFormat="1" ht="15.95" customHeight="1">
      <c r="B20" s="90" t="s">
        <v>349</v>
      </c>
      <c r="C20" s="342" t="s">
        <v>409</v>
      </c>
      <c r="D20" s="342"/>
      <c r="E20" s="342"/>
      <c r="F20" s="109">
        <v>40</v>
      </c>
    </row>
    <row r="21" spans="1:6" ht="16.5" customHeight="1">
      <c r="A21" s="94"/>
      <c r="B21" s="90" t="s">
        <v>351</v>
      </c>
      <c r="C21" s="353" t="s">
        <v>410</v>
      </c>
      <c r="D21" s="353"/>
      <c r="E21" s="353"/>
      <c r="F21" s="106">
        <v>94.45</v>
      </c>
    </row>
    <row r="22" spans="1:6" ht="16.5" customHeight="1">
      <c r="A22" s="94"/>
      <c r="B22" s="90" t="s">
        <v>353</v>
      </c>
      <c r="C22" s="342" t="s">
        <v>411</v>
      </c>
      <c r="D22" s="342"/>
      <c r="E22" s="342"/>
      <c r="F22" s="109">
        <v>30</v>
      </c>
    </row>
    <row r="23" spans="1:6" s="94" customFormat="1"/>
    <row r="24" spans="1:6" s="83" customFormat="1">
      <c r="B24" s="84" t="s">
        <v>370</v>
      </c>
      <c r="C24" s="86"/>
      <c r="D24" s="87"/>
      <c r="E24" s="82"/>
      <c r="F24" s="82"/>
    </row>
    <row r="25" spans="1:6" s="83" customFormat="1" ht="15" customHeight="1">
      <c r="B25" s="84" t="s">
        <v>371</v>
      </c>
      <c r="C25" s="86"/>
      <c r="D25" s="87"/>
      <c r="E25" s="88"/>
      <c r="F25" s="88"/>
    </row>
    <row r="26" spans="1:6" s="83" customFormat="1" ht="16.5" customHeight="1">
      <c r="B26" s="89" t="s">
        <v>372</v>
      </c>
      <c r="C26" s="350" t="s">
        <v>373</v>
      </c>
      <c r="D26" s="350"/>
      <c r="E26" s="350"/>
      <c r="F26" s="90" t="s">
        <v>406</v>
      </c>
    </row>
    <row r="27" spans="1:6" s="83" customFormat="1" ht="16.5" customHeight="1">
      <c r="B27" s="89" t="s">
        <v>338</v>
      </c>
      <c r="C27" s="342" t="s">
        <v>412</v>
      </c>
      <c r="D27" s="342"/>
      <c r="E27" s="342"/>
      <c r="F27" s="109">
        <v>8</v>
      </c>
    </row>
    <row r="28" spans="1:6" ht="16.5" customHeight="1">
      <c r="A28" s="83"/>
      <c r="B28" s="90" t="s">
        <v>341</v>
      </c>
      <c r="C28" s="344" t="s">
        <v>413</v>
      </c>
      <c r="D28" s="344"/>
      <c r="E28" s="344"/>
      <c r="F28" s="106">
        <v>20</v>
      </c>
    </row>
    <row r="29" spans="1:6" ht="16.5" customHeight="1">
      <c r="A29" s="83"/>
      <c r="B29" s="90" t="s">
        <v>349</v>
      </c>
      <c r="C29" s="342" t="s">
        <v>414</v>
      </c>
      <c r="D29" s="342"/>
      <c r="E29" s="342"/>
      <c r="F29" s="107">
        <v>1.42</v>
      </c>
    </row>
    <row r="30" spans="1:6" ht="16.5" customHeight="1">
      <c r="A30" s="83"/>
      <c r="B30" s="90" t="s">
        <v>351</v>
      </c>
      <c r="C30" s="344" t="s">
        <v>415</v>
      </c>
      <c r="D30" s="344"/>
      <c r="E30" s="344"/>
      <c r="F30" s="108">
        <v>45.22</v>
      </c>
    </row>
    <row r="31" spans="1:6" s="83" customFormat="1" ht="15.95" customHeight="1">
      <c r="A31" s="82"/>
      <c r="B31" s="90" t="s">
        <v>353</v>
      </c>
      <c r="C31" s="342" t="s">
        <v>416</v>
      </c>
      <c r="D31" s="342"/>
      <c r="E31" s="342"/>
      <c r="F31" s="107">
        <f>(154800/34808000)*100</f>
        <v>0.44472535049413925</v>
      </c>
    </row>
    <row r="32" spans="1:6" ht="15.75" customHeight="1">
      <c r="A32" s="83"/>
      <c r="B32" s="90" t="s">
        <v>355</v>
      </c>
      <c r="C32" s="344" t="s">
        <v>417</v>
      </c>
      <c r="D32" s="344"/>
      <c r="E32" s="344"/>
      <c r="F32" s="106">
        <v>15</v>
      </c>
    </row>
    <row r="33" spans="1:6" ht="15.75" customHeight="1">
      <c r="A33" s="83"/>
      <c r="B33" s="90" t="s">
        <v>357</v>
      </c>
      <c r="C33" s="342" t="s">
        <v>418</v>
      </c>
      <c r="D33" s="342"/>
      <c r="E33" s="342"/>
      <c r="F33" s="109">
        <v>180</v>
      </c>
    </row>
    <row r="34" spans="1:6" ht="16.5" customHeight="1">
      <c r="A34" s="83"/>
      <c r="B34" s="90" t="s">
        <v>359</v>
      </c>
      <c r="C34" s="344" t="s">
        <v>419</v>
      </c>
      <c r="D34" s="344"/>
      <c r="E34" s="344"/>
      <c r="F34" s="108">
        <v>54.78</v>
      </c>
    </row>
    <row r="35" spans="1:6" s="94" customFormat="1" ht="8.25" customHeight="1"/>
    <row r="36" spans="1:6">
      <c r="B36" s="84" t="s">
        <v>420</v>
      </c>
      <c r="C36" s="86"/>
      <c r="D36" s="87"/>
      <c r="E36" s="88"/>
      <c r="F36" s="88"/>
    </row>
    <row r="37" spans="1:6">
      <c r="B37" s="89" t="s">
        <v>421</v>
      </c>
      <c r="C37" s="343" t="s">
        <v>422</v>
      </c>
      <c r="D37" s="343"/>
      <c r="E37" s="343"/>
      <c r="F37" s="90" t="s">
        <v>423</v>
      </c>
    </row>
    <row r="38" spans="1:6" ht="16.5" customHeight="1">
      <c r="B38" s="89" t="s">
        <v>338</v>
      </c>
      <c r="C38" s="354" t="s">
        <v>424</v>
      </c>
      <c r="D38" s="354"/>
      <c r="E38" s="354"/>
      <c r="F38" s="100">
        <f>PERC_HORA_EXTRA</f>
        <v>0</v>
      </c>
    </row>
    <row r="39" spans="1:6" ht="15" customHeight="1">
      <c r="B39" s="89" t="s">
        <v>341</v>
      </c>
      <c r="C39" s="344" t="s">
        <v>425</v>
      </c>
      <c r="D39" s="344"/>
      <c r="E39" s="344"/>
      <c r="F39" s="101">
        <f>TEMPO_INTERVALO_REFEICAO</f>
        <v>0</v>
      </c>
    </row>
    <row r="40" spans="1:6" s="94" customFormat="1"/>
    <row r="41" spans="1:6" ht="20.25">
      <c r="B41" s="97" t="s">
        <v>384</v>
      </c>
      <c r="C41" s="110"/>
      <c r="D41" s="110"/>
      <c r="E41" s="110"/>
      <c r="F41" s="111"/>
    </row>
    <row r="42" spans="1:6" ht="33.75" customHeight="1">
      <c r="B42" s="349" t="s">
        <v>385</v>
      </c>
      <c r="C42" s="349"/>
      <c r="D42" s="349"/>
      <c r="E42" s="349"/>
      <c r="F42" s="349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4529D199-9192-4971-AD07-739D2D481836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103</vt:i4>
      </vt:variant>
    </vt:vector>
  </HeadingPairs>
  <TitlesOfParts>
    <vt:vector size="112" baseType="lpstr">
      <vt:lpstr>INSTRUÇOES PARA PREENCHIMENTO</vt:lpstr>
      <vt:lpstr>MODELO PROPOSTA</vt:lpstr>
      <vt:lpstr>Cálculo do BDI</vt:lpstr>
      <vt:lpstr>Oficial de Manutenção-Estimado</vt:lpstr>
      <vt:lpstr>Oficial de Manutenção</vt:lpstr>
      <vt:lpstr>Uniforme</vt:lpstr>
      <vt:lpstr>Materiais de Reposição</vt:lpstr>
      <vt:lpstr>ENCARGOS-SOCIAIS-E-TRABALHISTAS</vt:lpstr>
      <vt:lpstr>DADOS-ESTATISTICOS</vt:lpstr>
      <vt:lpstr>'Oficial de Manutenção'!AL_1_A_SAL_BASE</vt:lpstr>
      <vt:lpstr>'Oficial de Manutenção-Estimado'!AL_1_A_SAL_BASE</vt:lpstr>
      <vt:lpstr>'Oficial de Manutenção'!AL_1_B_ADIC_PERIC</vt:lpstr>
      <vt:lpstr>'Oficial de Manutenção-Estimado'!AL_1_B_ADIC_PERIC</vt:lpstr>
      <vt:lpstr>'Oficial de Manutenção'!AL_1_C_ADIC_NOT</vt:lpstr>
      <vt:lpstr>'Oficial de Manutenção-Estimado'!AL_1_C_ADIC_NOT</vt:lpstr>
      <vt:lpstr>'Oficial de Manutenção'!AL_1_D_ADIC_NOT_RED</vt:lpstr>
      <vt:lpstr>'Oficial de Manutenção-Estimado'!AL_1_D_ADIC_NOT_RED</vt:lpstr>
      <vt:lpstr>'Oficial de Manutenção'!AL_2_1_A_DEC_TERC</vt:lpstr>
      <vt:lpstr>'Oficial de Manutenção-Estimado'!AL_2_1_A_DEC_TERC</vt:lpstr>
      <vt:lpstr>'Oficial de Manutenção'!AL_2_1_B_ADIC_FERIAS</vt:lpstr>
      <vt:lpstr>'Oficial de Manutenção-Estimado'!AL_2_1_B_ADIC_FERIAS</vt:lpstr>
      <vt:lpstr>'Oficial de Manutenção'!AL_2_2_FGTS</vt:lpstr>
      <vt:lpstr>'Oficial de Manutenção-Estimado'!AL_2_2_FGTS</vt:lpstr>
      <vt:lpstr>'Oficial de Manutenção'!AL_2_3_A_TRANSP</vt:lpstr>
      <vt:lpstr>'Oficial de Manutenção-Estimado'!AL_2_3_A_TRANSP</vt:lpstr>
      <vt:lpstr>'Oficial de Manutenção'!AL_2_3_B_AUX_ALIMENT</vt:lpstr>
      <vt:lpstr>'Oficial de Manutenção-Estimado'!AL_2_3_B_AUX_ALIMENT</vt:lpstr>
      <vt:lpstr>'Oficial de Manutenção'!AL_2_3_C_OUTROS_BENEF</vt:lpstr>
      <vt:lpstr>'Oficial de Manutenção-Estimado'!AL_2_3_C_OUTROS_BENEF</vt:lpstr>
      <vt:lpstr>'Oficial de Manutenção'!AL_2_A_ATE_2_G_GPS</vt:lpstr>
      <vt:lpstr>'Oficial de Manutenção-Estimado'!AL_2_A_ATE_2_G_GPS</vt:lpstr>
      <vt:lpstr>'Oficial de Manutenção'!AL_6_A_CUSTOS_INDIRETOS</vt:lpstr>
      <vt:lpstr>'Oficial de Manutenção-Estimado'!AL_6_A_CUSTOS_INDIRETOS</vt:lpstr>
      <vt:lpstr>'Oficial de Manutenção'!AL_6_B_LUCRO</vt:lpstr>
      <vt:lpstr>'Oficial de Manutenção-Estimado'!AL_6_B_LUCRO</vt:lpstr>
      <vt:lpstr>'Oficial de Manutenção'!AL_6_C_1_PIS</vt:lpstr>
      <vt:lpstr>'Oficial de Manutenção-Estimado'!AL_6_C_1_PIS</vt:lpstr>
      <vt:lpstr>'Oficial de Manutenção'!AL_6_C_2_COFINS</vt:lpstr>
      <vt:lpstr>'Oficial de Manutenção-Estimado'!AL_6_C_2_COFINS</vt:lpstr>
      <vt:lpstr>'Oficial de Manutenção'!AL_6_C_3_ISS</vt:lpstr>
      <vt:lpstr>'Oficial de Manutenção-Estimado'!AL_6_C_3_ISS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'DADOS-ESTATISTICOS'!DIAS_AUSENCIAS_LEGAIS</vt:lpstr>
      <vt:lpstr>'DADOS-ESTATISTICOS'!DIAS_LICENCA_MATERNIDADE</vt:lpstr>
      <vt:lpstr>'DADOS-ESTATISTICOS'!DIAS_LICENCA_PATERNIDADE</vt:lpstr>
      <vt:lpstr>'DADOS-ESTATISTICOS'!DIAS_NA_SEMANA</vt:lpstr>
      <vt:lpstr>'DADOS-ESTATISTICOS'!DIAS_NO_ANO</vt:lpstr>
      <vt:lpstr>'DADOS-ESTATISTICOS'!DIAS_NO_MES</vt:lpstr>
      <vt:lpstr>'DADOS-ESTATISTICOS'!DIAS_PAGOS_EMPRESA_ACID_TRAB</vt:lpstr>
      <vt:lpstr>'DADOS-ESTATISTICOS'!DIVISOR_DE_HORAS</vt:lpstr>
      <vt:lpstr>'DADOS-ESTATISTICOS'!HORA_NORMAL</vt:lpstr>
      <vt:lpstr>'DADOS-ESTATISTICOS'!HORA_NOTURNA</vt:lpstr>
      <vt:lpstr>'DADOS-ESTATISTICOS'!MEDIA_ANUAL_DIAS_TRABALHO_MES</vt:lpstr>
      <vt:lpstr>'DADOS-ESTATISTICOS'!MESES_NO_ANO</vt:lpstr>
      <vt:lpstr>'Oficial de Manutenção'!MOD_1_REMUNERACAO</vt:lpstr>
      <vt:lpstr>'Oficial de Manutenção-Estimado'!MOD_1_REMUNERACAO</vt:lpstr>
      <vt:lpstr>'Oficial de Manutenção'!MOD_3_PROVISAO_RESCISAO</vt:lpstr>
      <vt:lpstr>'Oficial de Manutenção-Estimado'!MOD_3_PROVISAO_RESCISAO</vt:lpstr>
      <vt:lpstr>'Oficial de Manutenção'!MOD_5_INSUMOS</vt:lpstr>
      <vt:lpstr>'Oficial de Manutenção-Estimado'!MOD_5_INSUMOS</vt:lpstr>
      <vt:lpstr>'Oficial de Manutenção'!MOD_6_CUSTOS_IND_LUCRO_TRIB</vt:lpstr>
      <vt:lpstr>'Oficial de Manutenção-Estimado'!MOD_6_CUSTOS_IND_LUCRO_TRIB</vt:lpstr>
      <vt:lpstr>OUTRAS_AUSENCIAS</vt:lpstr>
      <vt:lpstr>'ENCARGOS-SOCIAIS-E-TRABALHISTAS'!PERC_ADIC_FERIAS</vt:lpstr>
      <vt:lpstr>'ENCARGOS-SOCIAIS-E-TRABALHISTAS'!PERC_AVISO_PREVIO_IND</vt:lpstr>
      <vt:lpstr>'ENCARGOS-SOCIAIS-E-TRABALHISTAS'!PERC_DEC_TERC</vt:lpstr>
      <vt:lpstr>'DADOS-ESTATISTICOS'!PERC_DESC_TRANSP_REMUNERACAO</vt:lpstr>
      <vt:lpstr>'DADOS-ESTATISTICOS'!PERC_EMPREG_AFAST_TRAB</vt:lpstr>
      <vt:lpstr>'DADOS-ESTATISTICOS'!PERC_EMPREG_AVISO_PREVIO_IND</vt:lpstr>
      <vt:lpstr>'DADOS-ESTATISTICOS'!PERC_EMPREG_AVISO_PREVIO_TRAB</vt:lpstr>
      <vt:lpstr>'DADOS-ESTATISTICOS'!PERC_EMPREG_DEMIT_SEM_JUSTA_CAUSA_TOTAL_DESLIG</vt:lpstr>
      <vt:lpstr>'ENCARGOS-SOCIAIS-E-TRABALHISTAS'!PERC_INCRA</vt:lpstr>
      <vt:lpstr>'ENCARGOS-SOCIAIS-E-TRABALHISTAS'!PERC_INSS</vt:lpstr>
      <vt:lpstr>'Oficial de Manutenção'!PERC_MOD_3_PROVISAO_RESCISAO</vt:lpstr>
      <vt:lpstr>'Oficial de Manutenção-Estimado'!PERC_MOD_3_PROVISAO_RESCISAO</vt:lpstr>
      <vt:lpstr>'DADOS-ESTATISTICOS'!PERC_MULTA_FGTS</vt:lpstr>
      <vt:lpstr>'ENCARGOS-SOCIAIS-E-TRABALHISTAS'!PERC_MULTA_FGTS_AV_PREV_TRAB</vt:lpstr>
      <vt:lpstr>'DADOS-ESTATISTICOS'!PERC_NASCIDOS_VIVOS_POPUL_FEM</vt:lpstr>
      <vt:lpstr>'DADOS-ESTATISTICOS'!PERC_PARTIC_FEM_VIGIL</vt:lpstr>
      <vt:lpstr>'DADOS-ESTATISTICOS'!PERC_PARTIC_MASC_VIGIL</vt:lpstr>
      <vt:lpstr>'ENCARGOS-SOCIAIS-E-TRABALHISTAS'!PERC_RAT</vt:lpstr>
      <vt:lpstr>'ENCARGOS-SOCIAIS-E-TRABALHISTAS'!PERC_SAL_EDUCACAO</vt:lpstr>
      <vt:lpstr>'ENCARGOS-SOCIAIS-E-TRABALHISTAS'!PERC_SEBRAE</vt:lpstr>
      <vt:lpstr>'ENCARGOS-SOCIAIS-E-TRABALHISTAS'!PERC_SENAC</vt:lpstr>
      <vt:lpstr>'ENCARGOS-SOCIAIS-E-TRABALHISTAS'!PERC_SESC</vt:lpstr>
      <vt:lpstr>'ENCARGOS-SOCIAIS-E-TRABALHISTAS'!PERC_SUBSTITUTO_ACID_TRAB</vt:lpstr>
      <vt:lpstr>'ENCARGOS-SOCIAIS-E-TRABALHISTAS'!PERC_SUBSTITUTO_AFAST_MATERN</vt:lpstr>
      <vt:lpstr>'ENCARGOS-SOCIAIS-E-TRABALHISTAS'!PERC_SUBSTITUTO_AUSENCIAS_LEGAIS</vt:lpstr>
      <vt:lpstr>'ENCARGOS-SOCIAIS-E-TRABALHISTAS'!PERC_SUBSTITUTO_FERIAS</vt:lpstr>
      <vt:lpstr>'ENCARGOS-SOCIAIS-E-TRABALHISTAS'!PERC_SUBSTITUTO_LICENCA_PATERNIDADE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'Oficial de Manutenção'!SUBMOD_2_1_DEC_TERC_ADIC_FERIAS</vt:lpstr>
      <vt:lpstr>'Oficial de Manutenção-Estimado'!SUBMOD_2_1_DEC_TERC_ADIC_FERIAS</vt:lpstr>
      <vt:lpstr>'Oficial de Manutenção'!SUBMOD_2_2_GPS_FGTS</vt:lpstr>
      <vt:lpstr>'Oficial de Manutenção-Estimado'!SUBMOD_2_2_GPS_FGTS</vt:lpstr>
      <vt:lpstr>'Oficial de Manutenção'!SUBMOD_2_3_BENEFICIOS</vt:lpstr>
      <vt:lpstr>'Oficial de Manutenção-Estimado'!SUBMOD_2_3_BENEFICIOS</vt:lpstr>
      <vt:lpstr>'Oficial de Manutenção'!SUBMOD_4_1_SUBSTITUTO</vt:lpstr>
      <vt:lpstr>'Oficial de Manutenção-Estimado'!SUBMOD_4_1_SUBSTITUTO</vt:lpstr>
      <vt:lpstr>'Oficial de Manutenção'!SUBMOD_4_2_INTRAJORNADA</vt:lpstr>
      <vt:lpstr>'Oficial de Manutenção-Estimado'!SUBMOD_4_2_INTRAJORNADA</vt:lpstr>
      <vt:lpstr>'Oficial de Manutenção'!VALOR_TOTAL_EMPREGADO</vt:lpstr>
      <vt:lpstr>'Oficial de Manutenção-Estimado'!VALOR_TOTAL_EMPREGADO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2023-01-11T17:31:39Z</cp:lastPrinted>
  <dcterms:created xsi:type="dcterms:W3CDTF">2020-02-12T11:04:56Z</dcterms:created>
  <dcterms:modified xsi:type="dcterms:W3CDTF">2023-02-07T16:55:53Z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